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W:\Tax\Site\0\beregn\"/>
    </mc:Choice>
  </mc:AlternateContent>
  <xr:revisionPtr revIDLastSave="0" documentId="13_ncr:1_{68266741-6A43-472F-8E81-FB61E83510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atteberegning" sheetId="1" r:id="rId1"/>
    <sheet name="Virksomhed" sheetId="2" r:id="rId2"/>
    <sheet name="Udgiver" sheetId="3" r:id="rId3"/>
  </sheets>
  <definedNames>
    <definedName name="Gift">Skatteberegning!$G$8</definedName>
    <definedName name="Skatteordning">Virksomhed!$J$5</definedName>
    <definedName name="TABLE" localSheetId="0">Skatteberegning!$C$2:$C$2</definedName>
    <definedName name="TABLE_10" localSheetId="0">Skatteberegning!$C$35:$C$35</definedName>
    <definedName name="TABLE_11" localSheetId="0">Skatteberegning!$C$36:$C$36</definedName>
    <definedName name="TABLE_12" localSheetId="0">Skatteberegning!#REF!</definedName>
    <definedName name="TABLE_13" localSheetId="0">Skatteberegning!$C$38:$C$38</definedName>
    <definedName name="TABLE_14" localSheetId="0">Skatteberegning!$C$40:$C$40</definedName>
    <definedName name="TABLE_15" localSheetId="0">Skatteberegning!#REF!</definedName>
    <definedName name="TABLE_16" localSheetId="0">Skatteberegning!$C$41:$C$41</definedName>
    <definedName name="TABLE_17" localSheetId="0">Skatteberegning!$C$42:$C$42</definedName>
    <definedName name="TABLE_18" localSheetId="0">Skatteberegning!$C$43:$C$43</definedName>
    <definedName name="TABLE_19" localSheetId="0">Skatteberegning!$C$44:$C$44</definedName>
    <definedName name="TABLE_2" localSheetId="0">Skatteberegning!$C$8:$C$8</definedName>
    <definedName name="TABLE_20" localSheetId="0">Skatteberegning!$C$47:$C$47</definedName>
    <definedName name="TABLE_21" localSheetId="0">Skatteberegning!$C$48:$C$48</definedName>
    <definedName name="TABLE_22" localSheetId="0">Skatteberegning!$C$49:$C$49</definedName>
    <definedName name="TABLE_23" localSheetId="0">Skatteberegning!$C$50:$C$50</definedName>
    <definedName name="TABLE_24" localSheetId="0">Skatteberegning!$C$51:$C$51</definedName>
    <definedName name="TABLE_25" localSheetId="0">Skatteberegning!$C$52:$C$52</definedName>
    <definedName name="TABLE_26" localSheetId="0">Skatteberegning!$C$53:$C$53</definedName>
    <definedName name="TABLE_27" localSheetId="0">Skatteberegning!$C$54:$C$54</definedName>
    <definedName name="TABLE_28" localSheetId="0">Skatteberegning!$C$57:$C$57</definedName>
    <definedName name="TABLE_29" localSheetId="0">Skatteberegning!$C$58:$C$58</definedName>
    <definedName name="TABLE_3" localSheetId="0">Skatteberegning!$C$9:$C$9</definedName>
    <definedName name="TABLE_30" localSheetId="0">Skatteberegning!$C$60:$C$60</definedName>
    <definedName name="TABLE_31" localSheetId="0">Skatteberegning!$C$61:$C$61</definedName>
    <definedName name="TABLE_32" localSheetId="0">Skatteberegning!$C$62:$C$62</definedName>
    <definedName name="TABLE_33" localSheetId="0">Skatteberegning!$C$63:$C$63</definedName>
    <definedName name="TABLE_34" localSheetId="0">Skatteberegning!$C$67:$C$67</definedName>
    <definedName name="TABLE_35" localSheetId="0">Skatteberegning!$C$68:$C$68</definedName>
    <definedName name="TABLE_36" localSheetId="0">Skatteberegning!$C$69:$C$69</definedName>
    <definedName name="TABLE_37" localSheetId="0">Skatteberegning!$C$70:$C$70</definedName>
    <definedName name="TABLE_38" localSheetId="0">Skatteberegning!$C$73:$C$73</definedName>
    <definedName name="TABLE_39" localSheetId="0">Skatteberegning!$C$74:$C$74</definedName>
    <definedName name="TABLE_4" localSheetId="0">Skatteberegning!$C$11:$C$11</definedName>
    <definedName name="TABLE_40" localSheetId="0">Skatteberegning!$C$76:$C$76</definedName>
    <definedName name="TABLE_41" localSheetId="0">Skatteberegning!$C$77:$C$77</definedName>
    <definedName name="TABLE_42" localSheetId="0">Skatteberegning!$C$81:$C$81</definedName>
    <definedName name="TABLE_43" localSheetId="0">Skatteberegning!#REF!</definedName>
    <definedName name="TABLE_44" localSheetId="0">Skatteberegning!#REF!</definedName>
    <definedName name="TABLE_45" localSheetId="0">Skatteberegning!$C$82:$C$82</definedName>
    <definedName name="TABLE_46" localSheetId="0">Skatteberegning!$C$83:$C$83</definedName>
    <definedName name="TABLE_47" localSheetId="0">Skatteberegning!$C$85:$C$85</definedName>
    <definedName name="TABLE_48" localSheetId="0">Skatteberegning!$C$86:$C$86</definedName>
    <definedName name="TABLE_49" localSheetId="0">Skatteberegning!$C$87:$C$87</definedName>
    <definedName name="TABLE_5" localSheetId="0">Skatteberegning!$C$13:$C$13</definedName>
    <definedName name="TABLE_50" localSheetId="0">Skatteberegning!$C$88:$C$88</definedName>
    <definedName name="TABLE_51" localSheetId="0">Skatteberegning!$C$89:$C$89</definedName>
    <definedName name="TABLE_52" localSheetId="0">Skatteberegning!$C$90:$C$90</definedName>
    <definedName name="TABLE_53" localSheetId="0">Skatteberegning!#REF!</definedName>
    <definedName name="TABLE_54" localSheetId="0">Skatteberegning!#REF!</definedName>
    <definedName name="TABLE_55" localSheetId="0">Skatteberegning!#REF!</definedName>
    <definedName name="TABLE_56" localSheetId="0">Skatteberegning!$C$102:$C$102</definedName>
    <definedName name="TABLE_57" localSheetId="0">Skatteberegning!$C$103:$C$103</definedName>
    <definedName name="TABLE_58" localSheetId="0">Skatteberegning!$C$109:$C$109</definedName>
    <definedName name="TABLE_59" localSheetId="0">Skatteberegning!$C$110:$C$110</definedName>
    <definedName name="TABLE_6" localSheetId="0">Skatteberegning!$C$18:$C$18</definedName>
    <definedName name="TABLE_60" localSheetId="0">Skatteberegning!$C$112:$C$112</definedName>
    <definedName name="TABLE_61" localSheetId="0">Skatteberegning!$C$122:$C$122</definedName>
    <definedName name="TABLE_62" localSheetId="0">Skatteberegning!$C$20:$C$20</definedName>
    <definedName name="TABLE_63" localSheetId="0">Skatteberegning!$C$26:$C$26</definedName>
    <definedName name="TABLE_7" localSheetId="0">Skatteberegning!$C$22:$C$22</definedName>
    <definedName name="TABLE_8" localSheetId="0">Skatteberegning!$C$31:$C$31</definedName>
    <definedName name="TABLE_9" localSheetId="0">Skatteberegning!$C$32:$C$32</definedName>
    <definedName name="_xlnm.Print_Area" localSheetId="0">Skatteberegning!$A$1:$F$147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1" l="1"/>
  <c r="E55" i="1"/>
  <c r="F54" i="1"/>
  <c r="E54" i="1"/>
  <c r="E24" i="1"/>
  <c r="E16" i="1"/>
  <c r="E15" i="1"/>
  <c r="E14" i="1"/>
  <c r="F56" i="1"/>
  <c r="E56" i="1"/>
  <c r="B98" i="1"/>
  <c r="F57" i="1" l="1"/>
  <c r="F7" i="1" l="1"/>
  <c r="G8" i="1"/>
  <c r="F68" i="1" s="1"/>
  <c r="B84" i="1"/>
  <c r="B141" i="1"/>
  <c r="B143" i="1"/>
  <c r="F30" i="1"/>
  <c r="E33" i="1"/>
  <c r="F33" i="1"/>
  <c r="F40" i="1" s="1"/>
  <c r="E45" i="1"/>
  <c r="F45" i="1"/>
  <c r="F47" i="1" s="1"/>
  <c r="D51" i="1"/>
  <c r="E63" i="1"/>
  <c r="E103" i="1" s="1"/>
  <c r="F63" i="1"/>
  <c r="F66" i="1"/>
  <c r="E69" i="1"/>
  <c r="E76" i="1" s="1"/>
  <c r="B78" i="1"/>
  <c r="E82" i="1"/>
  <c r="E94" i="1"/>
  <c r="E95" i="1"/>
  <c r="B105" i="1"/>
  <c r="B106" i="1"/>
  <c r="E110" i="1"/>
  <c r="B113" i="1"/>
  <c r="B119" i="1"/>
  <c r="E127" i="1"/>
  <c r="B128" i="1"/>
  <c r="D128" i="1"/>
  <c r="B129" i="1"/>
  <c r="D129" i="1"/>
  <c r="E130" i="1"/>
  <c r="E132" i="1"/>
  <c r="B133" i="1"/>
  <c r="D133" i="1"/>
  <c r="B134" i="1"/>
  <c r="D134" i="1"/>
  <c r="E135" i="1"/>
  <c r="E140" i="1"/>
  <c r="D141" i="1"/>
  <c r="E142" i="1"/>
  <c r="D143" i="1"/>
  <c r="J5" i="2"/>
  <c r="D29" i="2" s="1"/>
  <c r="C10" i="2"/>
  <c r="D10" i="2" s="1"/>
  <c r="D11" i="2" s="1"/>
  <c r="D32" i="2" s="1"/>
  <c r="B15" i="2"/>
  <c r="A21" i="2"/>
  <c r="D24" i="2"/>
  <c r="D38" i="2"/>
  <c r="E129" i="1" l="1"/>
  <c r="E134" i="1"/>
  <c r="E141" i="1"/>
  <c r="E143" i="1"/>
  <c r="C26" i="2"/>
  <c r="E128" i="1"/>
  <c r="F82" i="1"/>
  <c r="F96" i="1"/>
  <c r="F117" i="1"/>
  <c r="F75" i="1"/>
  <c r="D105" i="1"/>
  <c r="F81" i="1"/>
  <c r="D106" i="1"/>
  <c r="F94" i="1"/>
  <c r="F74" i="1"/>
  <c r="F69" i="1"/>
  <c r="F76" i="1" s="1"/>
  <c r="F77" i="1" s="1"/>
  <c r="F78" i="1" s="1"/>
  <c r="F103" i="1"/>
  <c r="E104" i="1" s="1"/>
  <c r="B104" i="1" s="1"/>
  <c r="F95" i="1"/>
  <c r="F97" i="1" s="1"/>
  <c r="F98" i="1" s="1"/>
  <c r="F99" i="1" s="1"/>
  <c r="D86" i="1"/>
  <c r="F110" i="1"/>
  <c r="F112" i="1" s="1"/>
  <c r="F113" i="1" s="1"/>
  <c r="F58" i="1"/>
  <c r="D19" i="2"/>
  <c r="D20" i="2" s="1"/>
  <c r="D21" i="2" s="1"/>
  <c r="E133" i="1"/>
  <c r="D39" i="2"/>
  <c r="C25" i="2"/>
  <c r="C27" i="2" s="1"/>
  <c r="D28" i="2" s="1"/>
  <c r="B89" i="1"/>
  <c r="B71" i="1"/>
  <c r="D33" i="2"/>
  <c r="A71" i="1"/>
  <c r="D35" i="2"/>
  <c r="D44" i="2"/>
  <c r="E131" i="1" l="1"/>
  <c r="E136" i="1"/>
  <c r="E144" i="1"/>
  <c r="F83" i="1"/>
  <c r="E105" i="1"/>
  <c r="E106" i="1"/>
  <c r="E96" i="1"/>
  <c r="E97" i="1" s="1"/>
  <c r="E98" i="1" s="1"/>
  <c r="E99" i="1" s="1"/>
  <c r="E100" i="1" s="1"/>
  <c r="F70" i="1"/>
  <c r="F71" i="1" s="1"/>
  <c r="D45" i="2"/>
  <c r="D46" i="2" s="1"/>
  <c r="E46" i="1" s="1"/>
  <c r="E47" i="1" s="1"/>
  <c r="D40" i="2"/>
  <c r="D41" i="2" s="1"/>
  <c r="E34" i="1" s="1"/>
  <c r="E137" i="1" l="1"/>
  <c r="E146" i="1" s="1"/>
  <c r="E150" i="1" s="1"/>
  <c r="E107" i="1"/>
  <c r="F89" i="1"/>
  <c r="F88" i="1"/>
  <c r="F84" i="1"/>
  <c r="F86" i="1"/>
  <c r="F87" i="1"/>
  <c r="E35" i="1"/>
  <c r="E40" i="1" s="1"/>
  <c r="E111" i="1"/>
  <c r="E112" i="1" s="1"/>
  <c r="E113" i="1" s="1"/>
  <c r="E114" i="1" s="1"/>
  <c r="E117" i="1"/>
  <c r="E118" i="1" s="1"/>
  <c r="E119" i="1" s="1"/>
  <c r="E120" i="1" s="1"/>
  <c r="E75" i="1"/>
  <c r="E86" i="1" s="1"/>
  <c r="E57" i="1" l="1"/>
  <c r="E58" i="1" s="1"/>
  <c r="E68" i="1" s="1"/>
  <c r="E70" i="1" s="1"/>
  <c r="E71" i="1" s="1"/>
  <c r="E72" i="1" s="1"/>
  <c r="E87" i="1"/>
  <c r="E88" i="1" s="1"/>
  <c r="E89" i="1" s="1"/>
  <c r="E90" i="1" s="1"/>
  <c r="E81" i="1"/>
  <c r="E83" i="1" s="1"/>
  <c r="E84" i="1" s="1"/>
  <c r="E85" i="1" s="1"/>
  <c r="E74" i="1"/>
  <c r="E77" i="1" s="1"/>
  <c r="E78" i="1" s="1"/>
  <c r="E79" i="1" s="1"/>
  <c r="E91" i="1" l="1"/>
  <c r="E122" i="1" s="1"/>
  <c r="E149" i="1" s="1"/>
  <c r="E151" i="1" s="1"/>
</calcChain>
</file>

<file path=xl/sharedStrings.xml><?xml version="1.0" encoding="utf-8"?>
<sst xmlns="http://schemas.openxmlformats.org/spreadsheetml/2006/main" count="338" uniqueCount="265">
  <si>
    <t>1. Forskellige oplysninger</t>
  </si>
  <si>
    <t>Skatteyder</t>
  </si>
  <si>
    <t>Gift ?</t>
  </si>
  <si>
    <t>ja</t>
  </si>
  <si>
    <t>nej</t>
  </si>
  <si>
    <t>Under 18 år hele indkomståret ?</t>
  </si>
  <si>
    <t>Medlem af Folkekirken ?</t>
  </si>
  <si>
    <t>Kommune</t>
  </si>
  <si>
    <t>Skatte</t>
  </si>
  <si>
    <t>Kirke</t>
  </si>
  <si>
    <t>Nedslag</t>
  </si>
  <si>
    <t>pct.</t>
  </si>
  <si>
    <t>prm.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</si>
  <si>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</si>
  <si>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</si>
  <si>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</si>
  <si>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</si>
  <si>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</si>
  <si>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</si>
  <si>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</si>
  <si>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</si>
  <si>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</si>
  <si>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</si>
  <si>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</si>
  <si>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</si>
  <si>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</si>
  <si>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</si>
  <si>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</si>
  <si>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</si>
  <si>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</si>
  <si>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</si>
  <si>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</si>
  <si>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</si>
  <si>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</si>
  <si>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</si>
  <si>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</si>
  <si>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</si>
  <si>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</si>
  <si>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</si>
  <si>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</si>
  <si>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</si>
  <si>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</si>
  <si>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</si>
  <si>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</si>
  <si>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</si>
  <si>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</si>
  <si>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</si>
  <si>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</si>
  <si>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</si>
  <si>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</si>
  <si>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</si>
  <si>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</si>
  <si>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</si>
  <si>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</si>
  <si>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</si>
  <si>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</si>
  <si>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</si>
  <si>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</si>
  <si>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</si>
  <si>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</si>
  <si>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</si>
  <si>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</si>
  <si>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</si>
  <si>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</si>
  <si>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</si>
  <si>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</si>
  <si>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</si>
  <si>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</si>
  <si>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</si>
  <si>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</si>
  <si>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</si>
  <si>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</si>
  <si>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</si>
  <si>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</si>
  <si>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</si>
  <si>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</si>
  <si>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</si>
  <si>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</si>
  <si>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</si>
  <si>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</si>
  <si>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</si>
  <si>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</si>
  <si>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</si>
  <si>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</si>
  <si>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</si>
  <si>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</si>
  <si>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</si>
  <si>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</si>
  <si>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</si>
  <si>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</si>
  <si>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</si>
  <si>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</si>
  <si>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</si>
  <si>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</si>
  <si>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</si>
  <si>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</si>
  <si>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</si>
  <si>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</si>
  <si>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</si>
  <si>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</si>
  <si>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</si>
  <si>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</si>
  <si>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</si>
  <si>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</si>
  <si>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</si>
  <si>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</si>
  <si>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</si>
  <si>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</si>
  <si>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</si>
  <si>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Kirkeskatteprocent</t>
  </si>
  <si>
    <t>Ejendomsværdi af sommerhus</t>
  </si>
  <si>
    <t>Personlig indkomst</t>
  </si>
  <si>
    <r>
      <t xml:space="preserve">Bidrag og præmie til </t>
    </r>
    <r>
      <rPr>
        <i/>
        <sz val="10"/>
        <rFont val="Arial"/>
        <family val="2"/>
      </rPr>
      <t>privattegnet</t>
    </r>
    <r>
      <rPr>
        <sz val="10"/>
        <rFont val="Arial"/>
        <family val="2"/>
      </rPr>
      <t xml:space="preserve"> pension med løbende udbetalinger og ratepension</t>
    </r>
  </si>
  <si>
    <t>Personlig indkomst i alt</t>
  </si>
  <si>
    <t>Kapitalindkomst</t>
  </si>
  <si>
    <t>Renteindtægter</t>
  </si>
  <si>
    <t>Anden kapitalindkomst</t>
  </si>
  <si>
    <t>Renteudgifter</t>
  </si>
  <si>
    <t>Kapitalindkomst i alt</t>
  </si>
  <si>
    <t>Ligningsmæssige fradrag</t>
  </si>
  <si>
    <t>Befordring</t>
  </si>
  <si>
    <t>Arbejdsløshedsforsikring og fagligt kontingent</t>
  </si>
  <si>
    <t>Øvrige lønmodtagerudgifter over</t>
  </si>
  <si>
    <t>Underholdsbidrag til tidligere ægtefælle og børnebidrag</t>
  </si>
  <si>
    <t>Andre ligningsmæssig fradrag</t>
  </si>
  <si>
    <t>Beskæftigelsesfradrag</t>
  </si>
  <si>
    <t>Ligningsmæssige fradrag i alt</t>
  </si>
  <si>
    <t>Skattepligtig indkomst i alt</t>
  </si>
  <si>
    <t>Aktieindkomst</t>
  </si>
  <si>
    <t>Aktieindkomst i alt</t>
  </si>
  <si>
    <t>Skattepligtig indkomst</t>
  </si>
  <si>
    <t>Personfradrag</t>
  </si>
  <si>
    <t>Beregningsgrundlag</t>
  </si>
  <si>
    <t>% af beregningsgrundlag</t>
  </si>
  <si>
    <t>Bundskat</t>
  </si>
  <si>
    <t>Positiv nettokapitalindkomst</t>
  </si>
  <si>
    <t>I alt</t>
  </si>
  <si>
    <t>Topskat</t>
  </si>
  <si>
    <t>Bundgrænse</t>
  </si>
  <si>
    <t>Positiv nettokapitalindkomst over</t>
  </si>
  <si>
    <t>Topskat af positiv nettokapitalindkomst</t>
  </si>
  <si>
    <t>Kommuneskatteprocent</t>
  </si>
  <si>
    <t>Kommunal skat, sundhedsbidrag og kirkeskat</t>
  </si>
  <si>
    <t>Ejendomsværdiskat</t>
  </si>
  <si>
    <t>Ejendomsværdi enfamiliehus/ejerlejlighed</t>
  </si>
  <si>
    <t>% af ejendomsværdi indtil</t>
  </si>
  <si>
    <t>% af ejendomsværdi over</t>
  </si>
  <si>
    <t>Ejendomsværdiskat enfamiliehus/ejerlejlighed</t>
  </si>
  <si>
    <t>Ejendomsværdi sommerhus</t>
  </si>
  <si>
    <t>Aktieskat</t>
  </si>
  <si>
    <t>% af beregningsgrundlag indtil</t>
  </si>
  <si>
    <t>% af beregningsgrundlag over</t>
  </si>
  <si>
    <t>Arbejdsmarkedsbidrag (AMB)</t>
  </si>
  <si>
    <t>Løn, honorarer mv. (før fradrag af AMB)</t>
  </si>
  <si>
    <t>Ejendomsværdiskat sommerhus</t>
  </si>
  <si>
    <t>Grundskyld</t>
  </si>
  <si>
    <t>Sommerhus erhvervet senest 1. juli 1998 ?</t>
  </si>
  <si>
    <t>Ejendomsværdi af ejerlejlighed</t>
  </si>
  <si>
    <t>Ejendomsværdi af enfamiliehus</t>
  </si>
  <si>
    <t>Kommuneskatteprocenter</t>
  </si>
  <si>
    <t>Satser</t>
  </si>
  <si>
    <t>Hus/ejerlejlighed erhvervet senest 1. juli 1998 ?</t>
  </si>
  <si>
    <t>Bundskatprocent PSL § 6, stk. 2</t>
  </si>
  <si>
    <t>Sundhedsbidragsprocent PSL § 8</t>
  </si>
  <si>
    <t>Topskatgrænse PSL § 7, stk. 2</t>
  </si>
  <si>
    <t>Skatteloftprocent PSL § 19, stk. 1</t>
  </si>
  <si>
    <t>Skatteloftprocent positiv nettokapitalindkomst PSL § 19, stk. 2</t>
  </si>
  <si>
    <t>Personfradrag unge PSL § 10, stk. 2</t>
  </si>
  <si>
    <t>Personfradrag PSL § 10, stk. 1</t>
  </si>
  <si>
    <t>Maksimalt kapitalpensionsfradrag PBL § 16, stk. 1</t>
  </si>
  <si>
    <t>Bundfradrag positiv nettokapitalindkomst PSL § 7, stk. 1</t>
  </si>
  <si>
    <t>Aktieskatprocent under grænse PSL § 8 a, stk. 1</t>
  </si>
  <si>
    <t>Aktieskatprocent over grænse PSL § 8 a, stk. 2</t>
  </si>
  <si>
    <t>Grænse aktieskat PSL § 8 a, stk. 1 og 2</t>
  </si>
  <si>
    <t>Bundgrænse lønmodtagerfradrag LL § 9, stk. 1</t>
  </si>
  <si>
    <t>Grænse ejendomsværdiskat EVL § 5, stk. 1</t>
  </si>
  <si>
    <t>Ejendomsværdiskatteprocent under grænse EVL § 5, stk. 1</t>
  </si>
  <si>
    <t>Ejendomsværdiskatteprocent over grænse EVL § 5, stk. 1</t>
  </si>
  <si>
    <t>Grundværdi sommerhus</t>
  </si>
  <si>
    <t>Grundværdi hus/ejerlejlighed</t>
  </si>
  <si>
    <t>Beliggenhed sommerhus</t>
  </si>
  <si>
    <t>Grundskyldspromille</t>
  </si>
  <si>
    <t>3. Indkomstskat</t>
  </si>
  <si>
    <t>Indkomstskat</t>
  </si>
  <si>
    <t>Skat af fast ejendom</t>
  </si>
  <si>
    <t>Skat af fast ejendom i alt</t>
  </si>
  <si>
    <t>Grundskyld (ejendomsskat)</t>
  </si>
  <si>
    <t>Grundværdi enfamiliehus/ejerlejlighed</t>
  </si>
  <si>
    <t>promille af grundværdi</t>
  </si>
  <si>
    <t>4. Skat af fast ejendom</t>
  </si>
  <si>
    <t>5. Samlet skat</t>
  </si>
  <si>
    <t>intet sommerhus</t>
  </si>
  <si>
    <t xml:space="preserve"> </t>
  </si>
  <si>
    <t>Regnearket implementerer hovedreglerne i indkomstbeskatningen. Brug af dette regneark sker på eget ansvar. Der ydes ikke erstatning, såfremt brugen af regnearket giver anledning til, at der lides et tab.</t>
  </si>
  <si>
    <t>Aarhus</t>
  </si>
  <si>
    <t>Topskatprocent PSL § 7, stk. 1</t>
  </si>
  <si>
    <t>Nedslag for negativ nettokapitalindkomst</t>
  </si>
  <si>
    <t>Nettokapitalindkomst</t>
  </si>
  <si>
    <t>Beskæftigelsesfradragsprocent LL § 9 J, stk. 2</t>
  </si>
  <si>
    <t>Maksimalt beskæftigelsesfradrag LL § 9 J, stk. 2</t>
  </si>
  <si>
    <t>Selvstændig virksomhed</t>
  </si>
  <si>
    <t>Resultat før renter</t>
  </si>
  <si>
    <t>Løn, honorarer mv.</t>
  </si>
  <si>
    <t>- reduceres med Arbejdsmarkedsbidrag (AMB)</t>
  </si>
  <si>
    <t>Resultat efter renter</t>
  </si>
  <si>
    <t>Ønsket skatteordning</t>
  </si>
  <si>
    <t>Virksomhedsskatteordning</t>
  </si>
  <si>
    <t>Kapitalafkastordning</t>
  </si>
  <si>
    <t>Alm. personskatteregler</t>
  </si>
  <si>
    <t>Nedenstående skal ikke udfyldes, da beskatning efter alm. personskatteregler:</t>
  </si>
  <si>
    <t>Nedenstående skal udfyldes, da beskatning efter kapitalafkastordning:</t>
  </si>
  <si>
    <t>Nedenstående skal udfyldes, da beskatning efter virksomhedsskatteordning:</t>
  </si>
  <si>
    <t>Kapitalafkast</t>
  </si>
  <si>
    <t>Renteindtægter/-udgifter</t>
  </si>
  <si>
    <t>Værdi af aktiver i virksomheden</t>
  </si>
  <si>
    <t>Kapitalafkastgrundlag</t>
  </si>
  <si>
    <t>% af kapitalafkastgrundlag</t>
  </si>
  <si>
    <t>Negativ nettokapitalindkomst</t>
  </si>
  <si>
    <t>Positiv personlig indkomst fra selvstændig virksomhed</t>
  </si>
  <si>
    <t>Gæld i virksomheden</t>
  </si>
  <si>
    <t>Maksimalt kapitalafkast</t>
  </si>
  <si>
    <t>Valgt skatteordning</t>
  </si>
  <si>
    <t>Personlig kapitalindkomst</t>
  </si>
  <si>
    <r>
      <t xml:space="preserve">Personlig indkomst fra selvstændig virksomhed - fra arket </t>
    </r>
    <r>
      <rPr>
        <i/>
        <sz val="10"/>
        <rFont val="Arial"/>
        <family val="2"/>
      </rPr>
      <t>Virksomhed</t>
    </r>
  </si>
  <si>
    <t>Positivt resultat af selvstændig virksomhed, der beskattes som personlig indkomst</t>
  </si>
  <si>
    <r>
      <t xml:space="preserve">Kapitalindkomst fra selvstændig virksomhed - fra arket </t>
    </r>
    <r>
      <rPr>
        <i/>
        <sz val="10"/>
        <rFont val="Arial"/>
        <family val="2"/>
      </rPr>
      <t>Virksomhed</t>
    </r>
  </si>
  <si>
    <r>
      <t xml:space="preserve">Dette ark skal du kun udfylde, hvis du i indkomståret har drevet selvstændig virksomhed. Resultatet vil blive overført til arket </t>
    </r>
    <r>
      <rPr>
        <i/>
        <sz val="9"/>
        <rFont val="Arial"/>
        <family val="2"/>
      </rPr>
      <t>Skatteberegning.</t>
    </r>
  </si>
  <si>
    <t>Kapitalafkastsats</t>
  </si>
  <si>
    <t>Topskat af personlig indkomst</t>
  </si>
  <si>
    <t>Pensioner mv., hvoraf der skal betales udligningsskat</t>
  </si>
  <si>
    <t>Udligningsskat</t>
  </si>
  <si>
    <t>Bundfradrag udligningsskat, PSL § 7 a, stk. 4</t>
  </si>
  <si>
    <t>Bundfradrag</t>
  </si>
  <si>
    <t>Udligningsskatteprocent, PSL § 7 a, stk. 5</t>
  </si>
  <si>
    <t>Positiv udligningsskat</t>
  </si>
  <si>
    <t>3050 Humlebæk</t>
  </si>
  <si>
    <t>2. Indkomst og fradrag</t>
  </si>
  <si>
    <r>
      <t xml:space="preserve">I alt - til arket </t>
    </r>
    <r>
      <rPr>
        <i/>
        <sz val="10"/>
        <color indexed="10"/>
        <rFont val="Arial"/>
        <family val="2"/>
      </rPr>
      <t>Skatteberegning</t>
    </r>
  </si>
  <si>
    <t>Overførbart bundfradrag udligningsskat, PSL § 7 a, stk. 6</t>
  </si>
  <si>
    <t>Overført bundfradrag fra ægtefælle</t>
  </si>
  <si>
    <t>Udbytte af aktier, hvoraf der er indeholdt 27% udbytteskat (beløb før indeholdelse af udbytteskat)</t>
  </si>
  <si>
    <t>Udbytte af aktier, hvoraf der ikke er indeholdt 27% udbytteskat, samt gevinst/tab på aktier</t>
  </si>
  <si>
    <r>
      <t xml:space="preserve">Indkomstskat i alt </t>
    </r>
    <r>
      <rPr>
        <sz val="10"/>
        <rFont val="Arial"/>
        <family val="2"/>
      </rPr>
      <t>(grøn check er ikke fratrukket)</t>
    </r>
  </si>
  <si>
    <t>Dagpenge mv., SU og anden personlig indkomst, hvoraf der ikke skal betales AMB</t>
  </si>
  <si>
    <t>Pension mv., hvoraf der skal betales udligningsskat</t>
  </si>
  <si>
    <t>Furesø</t>
  </si>
  <si>
    <t>Arbejdsmarkedsbidragsprocent AMB § 1</t>
  </si>
  <si>
    <t>Nedslagsprocent negativ nettokapitalindkomst, PSL § 11, stk. 2</t>
  </si>
  <si>
    <t>Nedslag ejendomsværdiskat EVL § 6, stk. 1</t>
  </si>
  <si>
    <t>Nedslag ejendomsværdiskat EVL § 7, stk. 1</t>
  </si>
  <si>
    <t>Maksimalt nedslag efter EVL § 7, stk. 2</t>
  </si>
  <si>
    <t>Hans Chr. Spies</t>
  </si>
  <si>
    <t>spies@tax.dk</t>
  </si>
  <si>
    <t>Jernbane Alle 2</t>
  </si>
  <si>
    <t>Jobfradrag</t>
  </si>
  <si>
    <t>Maksimalt jobfradrag LL § 9 K, stk. 1</t>
  </si>
  <si>
    <t>Jobfradragsprocent LL § 9 K, stk. 2</t>
  </si>
  <si>
    <t>Bundgrænse jobfradrag LL § 9 K</t>
  </si>
  <si>
    <t>Skatteberegning 2021</t>
  </si>
  <si>
    <t>Kilde: Skatteministeriet, 4/12-2020</t>
  </si>
  <si>
    <r>
      <t xml:space="preserve">Bidrag og præmie til </t>
    </r>
    <r>
      <rPr>
        <i/>
        <sz val="10"/>
        <rFont val="Arial"/>
        <family val="2"/>
      </rPr>
      <t>arbejdsgiveradministreret</t>
    </r>
    <r>
      <rPr>
        <sz val="10"/>
        <rFont val="Arial"/>
      </rPr>
      <t xml:space="preserve"> pension med løbende udbetalinger og ratepension</t>
    </r>
  </si>
  <si>
    <t>Ekstra pensionsfradrag</t>
  </si>
  <si>
    <t>Maksimalt ekstra pensionsfradrag LL § 9 L</t>
  </si>
  <si>
    <t>Mere end 15 år til folkepensionsalderen ?</t>
  </si>
  <si>
    <t>Bopælskommune pr. 5.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</si>
</sst>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0" borderId="1" xfId="0" applyBorder="1"/>
    <xf numFmtId="0" fontId="4" fillId="0" borderId="2" xfId="0" applyFont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/>
    <xf numFmtId="0" fontId="0" fillId="0" borderId="2" xfId="0" applyBorder="1"/>
    <xf numFmtId="0" fontId="7" fillId="2" borderId="1" xfId="0" applyFont="1" applyFill="1" applyBorder="1" applyAlignment="1">
      <alignment wrapText="1"/>
    </xf>
    <xf numFmtId="0" fontId="4" fillId="0" borderId="1" xfId="0" applyFont="1" applyBorder="1"/>
    <xf numFmtId="0" fontId="0" fillId="2" borderId="0" xfId="0" applyFill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8" fillId="0" borderId="1" xfId="0" applyNumberFormat="1" applyFont="1" applyBorder="1"/>
    <xf numFmtId="0" fontId="6" fillId="2" borderId="1" xfId="0" applyFont="1" applyFill="1" applyBorder="1" applyAlignment="1">
      <alignment wrapText="1"/>
    </xf>
    <xf numFmtId="14" fontId="9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1" xfId="0" applyNumberFormat="1" applyFill="1" applyBorder="1" applyProtection="1">
      <protection locked="0"/>
    </xf>
    <xf numFmtId="0" fontId="4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3" fontId="4" fillId="0" borderId="1" xfId="0" applyNumberFormat="1" applyFont="1" applyBorder="1"/>
    <xf numFmtId="0" fontId="4" fillId="2" borderId="2" xfId="0" applyFont="1" applyFill="1" applyBorder="1" applyAlignment="1">
      <alignment wrapText="1"/>
    </xf>
    <xf numFmtId="2" fontId="0" fillId="0" borderId="1" xfId="0" applyNumberFormat="1" applyBorder="1"/>
    <xf numFmtId="0" fontId="4" fillId="0" borderId="0" xfId="0" applyFont="1"/>
    <xf numFmtId="3" fontId="0" fillId="0" borderId="5" xfId="0" applyNumberFormat="1" applyBorder="1"/>
    <xf numFmtId="0" fontId="11" fillId="2" borderId="1" xfId="0" applyFont="1" applyFill="1" applyBorder="1"/>
    <xf numFmtId="0" fontId="3" fillId="2" borderId="0" xfId="0" applyFont="1" applyFill="1" applyAlignment="1">
      <alignment wrapText="1"/>
    </xf>
    <xf numFmtId="3" fontId="4" fillId="0" borderId="0" xfId="0" applyNumberFormat="1" applyFont="1"/>
    <xf numFmtId="2" fontId="0" fillId="0" borderId="0" xfId="0" applyNumberFormat="1"/>
    <xf numFmtId="0" fontId="7" fillId="2" borderId="0" xfId="0" applyFont="1" applyFill="1" applyAlignment="1">
      <alignment wrapText="1"/>
    </xf>
    <xf numFmtId="0" fontId="8" fillId="0" borderId="0" xfId="0" applyFont="1"/>
    <xf numFmtId="0" fontId="12" fillId="0" borderId="0" xfId="0" applyFont="1"/>
    <xf numFmtId="0" fontId="11" fillId="0" borderId="6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8" fillId="0" borderId="1" xfId="0" applyFont="1" applyBorder="1"/>
    <xf numFmtId="49" fontId="0" fillId="2" borderId="1" xfId="0" applyNumberFormat="1" applyFill="1" applyBorder="1" applyAlignment="1">
      <alignment wrapText="1"/>
    </xf>
    <xf numFmtId="3" fontId="0" fillId="4" borderId="1" xfId="0" applyNumberFormat="1" applyFill="1" applyBorder="1" applyProtection="1">
      <protection locked="0"/>
    </xf>
    <xf numFmtId="3" fontId="0" fillId="4" borderId="1" xfId="0" applyNumberFormat="1" applyFill="1" applyBorder="1"/>
    <xf numFmtId="0" fontId="11" fillId="0" borderId="1" xfId="0" applyFont="1" applyBorder="1"/>
    <xf numFmtId="49" fontId="4" fillId="0" borderId="0" xfId="0" applyNumberFormat="1" applyFont="1" applyAlignment="1">
      <alignment horizontal="left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3" fontId="0" fillId="5" borderId="1" xfId="0" applyNumberFormat="1" applyFill="1" applyBorder="1" applyProtection="1">
      <protection locked="0"/>
    </xf>
    <xf numFmtId="164" fontId="0" fillId="0" borderId="0" xfId="1" applyFont="1" applyAlignment="1">
      <alignment horizontal="center" vertical="center" wrapText="1"/>
    </xf>
    <xf numFmtId="49" fontId="4" fillId="0" borderId="0" xfId="0" applyNumberFormat="1" applyFont="1"/>
    <xf numFmtId="49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8" fillId="3" borderId="1" xfId="0" applyFont="1" applyFill="1" applyBorder="1" applyProtection="1">
      <protection locked="0"/>
    </xf>
    <xf numFmtId="0" fontId="1" fillId="0" borderId="0" xfId="2" applyAlignment="1">
      <alignment vertical="center" wrapText="1"/>
    </xf>
    <xf numFmtId="0" fontId="0" fillId="0" borderId="0" xfId="0"/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3" fontId="0" fillId="8" borderId="1" xfId="0" applyNumberFormat="1" applyFill="1" applyBorder="1" applyProtection="1">
      <protection locked="0"/>
    </xf>
    <xf numFmtId="0" fontId="2" fillId="2" borderId="3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/>
    <xf numFmtId="0" fontId="0" fillId="0" borderId="4" xfId="0" applyBorder="1"/>
    <xf numFmtId="0" fontId="0" fillId="0" borderId="5" xfId="0" applyBorder="1"/>
    <xf numFmtId="0" fontId="4" fillId="6" borderId="0" xfId="0" applyFont="1" applyFill="1"/>
    <xf numFmtId="0" fontId="0" fillId="6" borderId="0" xfId="0" applyFill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49" fontId="10" fillId="0" borderId="0" xfId="0" applyNumberFormat="1" applyFont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4" fillId="7" borderId="0" xfId="0" applyFont="1" applyFill="1" applyAlignment="1">
      <alignment wrapText="1"/>
    </xf>
    <xf numFmtId="0" fontId="13" fillId="0" borderId="0" xfId="0" applyFont="1"/>
    <xf numFmtId="0" fontId="16" fillId="7" borderId="0" xfId="0" applyFont="1" applyFill="1" applyAlignment="1">
      <alignment wrapText="1"/>
    </xf>
  </cellXfs>
  <cellStyles count="3">
    <cellStyle name="Normal" xfId="0" builtinId="0"/>
    <cellStyle name="Normal 2" xfId="2" xr:uid="{736E7174-7404-4557-B1CA-6507C2F3B824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6</xdr:col>
      <xdr:colOff>0</xdr:colOff>
      <xdr:row>1</xdr:row>
      <xdr:rowOff>38100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FDD3AAA-B6F2-41FF-B4E1-208150D5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151"/>
  <sheetViews>
    <sheetView tabSelected="1" workbookViewId="0">
      <selection activeCell="E8" sqref="E8"/>
    </sheetView>
  </sheetViews>
  <sheetFormatPr defaultRowHeight="12.75" x14ac:dyDescent="0.2"/>
  <cols>
    <col min="1" max="2" width="6" bestFit="1" customWidth="1"/>
    <col min="3" max="3" width="43.7109375" customWidth="1"/>
    <col min="5" max="5" width="11.28515625" customWidth="1"/>
    <col min="6" max="6" width="10.28515625" customWidth="1"/>
    <col min="7" max="7" width="9.140625" hidden="1" customWidth="1"/>
    <col min="9" max="9" width="24.140625" bestFit="1" customWidth="1"/>
    <col min="10" max="10" width="6.42578125" bestFit="1" customWidth="1"/>
    <col min="11" max="11" width="5.28515625" customWidth="1"/>
    <col min="12" max="12" width="7.7109375" customWidth="1"/>
    <col min="13" max="13" width="10.42578125" bestFit="1" customWidth="1"/>
    <col min="15" max="15" width="53.7109375" customWidth="1"/>
    <col min="18" max="19" width="0" hidden="1" customWidth="1"/>
  </cols>
  <sheetData>
    <row r="1" spans="1:19" x14ac:dyDescent="0.2">
      <c r="A1" s="33"/>
      <c r="C1" s="14">
        <v>44318</v>
      </c>
      <c r="I1" s="76" t="s">
        <v>159</v>
      </c>
      <c r="J1" s="77"/>
      <c r="K1" s="77"/>
      <c r="L1" s="77"/>
      <c r="M1" s="77"/>
      <c r="O1" s="76" t="s">
        <v>160</v>
      </c>
      <c r="P1" s="76"/>
      <c r="R1" t="b">
        <v>1</v>
      </c>
      <c r="S1" t="s">
        <v>3</v>
      </c>
    </row>
    <row r="2" spans="1:19" ht="20.25" x14ac:dyDescent="0.3">
      <c r="C2" s="84" t="s">
        <v>258</v>
      </c>
      <c r="D2" s="84"/>
      <c r="E2" s="85"/>
      <c r="F2" s="85"/>
      <c r="R2" t="b">
        <v>0</v>
      </c>
      <c r="S2" t="s">
        <v>4</v>
      </c>
    </row>
    <row r="3" spans="1:19" x14ac:dyDescent="0.2">
      <c r="C3" s="72" t="s">
        <v>193</v>
      </c>
      <c r="D3" s="72"/>
      <c r="E3" s="72"/>
      <c r="F3" s="72"/>
      <c r="I3" s="65">
        <v>2021</v>
      </c>
      <c r="J3" s="60"/>
      <c r="K3" s="60"/>
      <c r="L3" s="60"/>
      <c r="M3" s="60"/>
      <c r="O3" s="65">
        <v>2021</v>
      </c>
      <c r="P3" s="60"/>
    </row>
    <row r="4" spans="1:19" x14ac:dyDescent="0.2">
      <c r="C4" s="73"/>
      <c r="D4" s="73"/>
      <c r="E4" s="73"/>
      <c r="F4" s="73"/>
      <c r="I4" s="60" t="s">
        <v>7</v>
      </c>
      <c r="J4" s="5" t="s">
        <v>8</v>
      </c>
      <c r="K4" s="5" t="s">
        <v>9</v>
      </c>
      <c r="L4" s="60" t="s">
        <v>10</v>
      </c>
      <c r="M4" s="60" t="s">
        <v>155</v>
      </c>
      <c r="O4" s="56" t="s">
        <v>246</v>
      </c>
      <c r="P4" s="60">
        <v>8</v>
      </c>
    </row>
    <row r="5" spans="1:19" ht="14.25" x14ac:dyDescent="0.2">
      <c r="I5" s="60"/>
      <c r="J5" s="5" t="s">
        <v>11</v>
      </c>
      <c r="K5" s="5" t="s">
        <v>11</v>
      </c>
      <c r="L5" s="60" t="s">
        <v>11</v>
      </c>
      <c r="M5" s="60" t="s">
        <v>12</v>
      </c>
      <c r="O5" s="56" t="s">
        <v>162</v>
      </c>
      <c r="P5" s="60">
        <v>12.09</v>
      </c>
      <c r="Q5" s="34"/>
    </row>
    <row r="6" spans="1:19" x14ac:dyDescent="0.2">
      <c r="C6" s="2" t="s">
        <v>0</v>
      </c>
      <c r="D6" s="18"/>
      <c r="E6" s="19"/>
      <c r="F6" s="20"/>
      <c r="I6" s="60"/>
      <c r="J6" s="5"/>
      <c r="K6" s="5"/>
      <c r="L6" s="60"/>
      <c r="M6" s="60"/>
      <c r="O6" s="56" t="s">
        <v>163</v>
      </c>
      <c r="P6" s="60">
        <v>0</v>
      </c>
    </row>
    <row r="7" spans="1:19" x14ac:dyDescent="0.2">
      <c r="C7" s="1"/>
      <c r="D7" s="6"/>
      <c r="E7" s="8" t="s">
        <v>1</v>
      </c>
      <c r="F7" s="8" t="str">
        <f>IF(E8=S1,"Ægtefælle","ugift")</f>
        <v>ugift</v>
      </c>
      <c r="I7" s="67" t="s">
        <v>191</v>
      </c>
      <c r="J7" s="60"/>
      <c r="K7" s="60"/>
      <c r="L7" s="60"/>
      <c r="M7" s="60">
        <v>0</v>
      </c>
      <c r="O7" s="56" t="s">
        <v>195</v>
      </c>
      <c r="P7" s="60">
        <v>15</v>
      </c>
    </row>
    <row r="8" spans="1:19" ht="15" x14ac:dyDescent="0.2">
      <c r="C8" s="4" t="s">
        <v>2</v>
      </c>
      <c r="D8" s="4"/>
      <c r="E8" s="58" t="s">
        <v>4</v>
      </c>
      <c r="F8" s="1"/>
      <c r="G8" t="b">
        <f>IF(E8=S1,TRUE,FALSE)</f>
        <v>0</v>
      </c>
      <c r="I8" s="60" t="s">
        <v>13</v>
      </c>
      <c r="J8" s="59">
        <v>25.6</v>
      </c>
      <c r="K8" s="59">
        <v>0.8</v>
      </c>
      <c r="L8" s="59">
        <v>0.65</v>
      </c>
      <c r="M8" s="59">
        <v>33.94</v>
      </c>
      <c r="O8" s="56" t="s">
        <v>164</v>
      </c>
      <c r="P8" s="10">
        <v>544800</v>
      </c>
    </row>
    <row r="9" spans="1:19" ht="15" x14ac:dyDescent="0.2">
      <c r="C9" s="3" t="s">
        <v>5</v>
      </c>
      <c r="D9" s="9"/>
      <c r="E9" s="15" t="s">
        <v>4</v>
      </c>
      <c r="F9" s="15" t="s">
        <v>4</v>
      </c>
      <c r="I9" s="60" t="s">
        <v>14</v>
      </c>
      <c r="J9" s="59">
        <v>24.3</v>
      </c>
      <c r="K9" s="59">
        <v>0.57999999999999996</v>
      </c>
      <c r="L9" s="59">
        <v>0</v>
      </c>
      <c r="M9" s="59">
        <v>23.8</v>
      </c>
      <c r="O9" s="56" t="s">
        <v>165</v>
      </c>
      <c r="P9" s="60">
        <v>52.06</v>
      </c>
    </row>
    <row r="10" spans="1:19" ht="15" x14ac:dyDescent="0.2">
      <c r="C10" s="64" t="s">
        <v>263</v>
      </c>
      <c r="D10" s="4"/>
      <c r="E10" s="61" t="s">
        <v>3</v>
      </c>
      <c r="F10" s="61" t="s">
        <v>3</v>
      </c>
      <c r="I10" s="60" t="s">
        <v>15</v>
      </c>
      <c r="J10" s="59">
        <v>26.1</v>
      </c>
      <c r="K10" s="59">
        <v>0.95</v>
      </c>
      <c r="L10" s="59">
        <v>1.1499999999999999</v>
      </c>
      <c r="M10" s="59">
        <v>22.12</v>
      </c>
      <c r="O10" s="56" t="s">
        <v>166</v>
      </c>
      <c r="P10" s="60">
        <v>42</v>
      </c>
    </row>
    <row r="11" spans="1:19" ht="15" x14ac:dyDescent="0.2">
      <c r="C11" s="4" t="s">
        <v>6</v>
      </c>
      <c r="D11" s="4"/>
      <c r="E11" s="15" t="s">
        <v>3</v>
      </c>
      <c r="F11" s="15" t="s">
        <v>3</v>
      </c>
      <c r="I11" s="60" t="s">
        <v>16</v>
      </c>
      <c r="J11" s="59">
        <v>25.5</v>
      </c>
      <c r="K11" s="59">
        <v>0.72</v>
      </c>
      <c r="L11" s="59">
        <v>0.55000000000000004</v>
      </c>
      <c r="M11" s="59">
        <v>28.89</v>
      </c>
      <c r="O11" s="56" t="s">
        <v>167</v>
      </c>
      <c r="P11" s="10">
        <v>36900</v>
      </c>
    </row>
    <row r="12" spans="1:19" ht="15" x14ac:dyDescent="0.2">
      <c r="C12" s="1"/>
      <c r="D12" s="1"/>
      <c r="E12" s="1"/>
      <c r="F12" s="1"/>
      <c r="I12" s="60" t="s">
        <v>17</v>
      </c>
      <c r="J12" s="59">
        <v>24</v>
      </c>
      <c r="K12" s="59">
        <v>0.89</v>
      </c>
      <c r="L12" s="59">
        <v>0</v>
      </c>
      <c r="M12" s="59">
        <v>18.48</v>
      </c>
      <c r="O12" s="56" t="s">
        <v>168</v>
      </c>
      <c r="P12" s="10">
        <v>46700</v>
      </c>
    </row>
    <row r="13" spans="1:19" ht="15" x14ac:dyDescent="0.2">
      <c r="C13" s="4" t="s">
        <v>264</v>
      </c>
      <c r="D13" s="4"/>
      <c r="E13" s="15" t="s">
        <v>13</v>
      </c>
      <c r="F13" s="1"/>
      <c r="I13" s="60" t="s">
        <v>18</v>
      </c>
      <c r="J13" s="59">
        <v>26.2</v>
      </c>
      <c r="K13" s="59">
        <v>0.93</v>
      </c>
      <c r="L13" s="59">
        <v>1.25</v>
      </c>
      <c r="M13" s="59">
        <v>34</v>
      </c>
      <c r="O13" s="56" t="s">
        <v>169</v>
      </c>
      <c r="P13" s="10">
        <v>0</v>
      </c>
    </row>
    <row r="14" spans="1:19" ht="15" x14ac:dyDescent="0.2">
      <c r="C14" s="1" t="s">
        <v>141</v>
      </c>
      <c r="D14" s="1"/>
      <c r="E14" s="1">
        <f>VLOOKUP(E13,I8:M105,2,FALSE)</f>
        <v>25.6</v>
      </c>
      <c r="F14" s="1"/>
      <c r="I14" s="60" t="s">
        <v>19</v>
      </c>
      <c r="J14" s="59">
        <v>24.3</v>
      </c>
      <c r="K14" s="59">
        <v>0.8</v>
      </c>
      <c r="L14" s="59">
        <v>0</v>
      </c>
      <c r="M14" s="59">
        <v>20.5</v>
      </c>
      <c r="O14" s="56" t="s">
        <v>170</v>
      </c>
      <c r="P14" s="10">
        <v>46800</v>
      </c>
    </row>
    <row r="15" spans="1:19" ht="15" x14ac:dyDescent="0.2">
      <c r="C15" s="1" t="s">
        <v>109</v>
      </c>
      <c r="D15" s="1"/>
      <c r="E15" s="1">
        <f>VLOOKUP(E13,I8:M105,3,FALSE)</f>
        <v>0.8</v>
      </c>
      <c r="F15" s="1"/>
      <c r="I15" s="60" t="s">
        <v>20</v>
      </c>
      <c r="J15" s="59">
        <v>26.3</v>
      </c>
      <c r="K15" s="59">
        <v>1.0900000000000001</v>
      </c>
      <c r="L15" s="59">
        <v>1.35</v>
      </c>
      <c r="M15" s="59">
        <v>31.23</v>
      </c>
      <c r="O15" s="56" t="s">
        <v>171</v>
      </c>
      <c r="P15" s="10">
        <v>27</v>
      </c>
    </row>
    <row r="16" spans="1:19" ht="15" x14ac:dyDescent="0.2">
      <c r="C16" s="1" t="s">
        <v>181</v>
      </c>
      <c r="D16" s="1"/>
      <c r="E16" s="1">
        <f>VLOOKUP(E13,I7:M105,5,FALSE)</f>
        <v>33.94</v>
      </c>
      <c r="F16" s="1"/>
      <c r="I16" s="60" t="s">
        <v>21</v>
      </c>
      <c r="J16" s="59">
        <v>24.8</v>
      </c>
      <c r="K16" s="59">
        <v>0.61</v>
      </c>
      <c r="L16" s="59">
        <v>0</v>
      </c>
      <c r="M16" s="59">
        <v>24.47</v>
      </c>
      <c r="O16" s="56" t="s">
        <v>172</v>
      </c>
      <c r="P16" s="10">
        <v>42</v>
      </c>
    </row>
    <row r="17" spans="3:16" ht="15" x14ac:dyDescent="0.2">
      <c r="C17" s="1"/>
      <c r="D17" s="1"/>
      <c r="E17" s="1"/>
      <c r="F17" s="1"/>
      <c r="I17" s="60" t="s">
        <v>22</v>
      </c>
      <c r="J17" s="59">
        <v>25.7</v>
      </c>
      <c r="K17" s="59">
        <v>0.76</v>
      </c>
      <c r="L17" s="59">
        <v>0.75</v>
      </c>
      <c r="M17" s="59">
        <v>23.98</v>
      </c>
      <c r="O17" s="56" t="s">
        <v>173</v>
      </c>
      <c r="P17" s="10">
        <v>56500</v>
      </c>
    </row>
    <row r="18" spans="3:16" ht="15" x14ac:dyDescent="0.2">
      <c r="C18" s="4" t="s">
        <v>158</v>
      </c>
      <c r="D18" s="4"/>
      <c r="E18" s="16"/>
      <c r="F18" s="1"/>
      <c r="I18" s="60" t="s">
        <v>23</v>
      </c>
      <c r="J18" s="59">
        <v>25.8</v>
      </c>
      <c r="K18" s="59">
        <v>0.81</v>
      </c>
      <c r="L18" s="59">
        <v>0.85</v>
      </c>
      <c r="M18" s="59">
        <v>25.29</v>
      </c>
      <c r="O18" s="56" t="s">
        <v>174</v>
      </c>
      <c r="P18" s="10">
        <v>6500</v>
      </c>
    </row>
    <row r="19" spans="3:16" ht="15" x14ac:dyDescent="0.2">
      <c r="C19" s="4" t="s">
        <v>157</v>
      </c>
      <c r="D19" s="4"/>
      <c r="E19" s="17"/>
      <c r="F19" s="1"/>
      <c r="I19" s="60" t="s">
        <v>24</v>
      </c>
      <c r="J19" s="59">
        <v>25.23</v>
      </c>
      <c r="K19" s="59">
        <v>1.1399999999999999</v>
      </c>
      <c r="L19" s="59">
        <v>0.28000000000000003</v>
      </c>
      <c r="M19" s="59">
        <v>34</v>
      </c>
      <c r="O19" s="56" t="s">
        <v>198</v>
      </c>
      <c r="P19" s="60">
        <v>10.6</v>
      </c>
    </row>
    <row r="20" spans="3:16" ht="15" x14ac:dyDescent="0.2">
      <c r="C20" s="4" t="s">
        <v>161</v>
      </c>
      <c r="D20" s="4"/>
      <c r="E20" s="15" t="s">
        <v>4</v>
      </c>
      <c r="F20" s="1"/>
      <c r="I20" s="60" t="s">
        <v>25</v>
      </c>
      <c r="J20" s="59">
        <v>25.7</v>
      </c>
      <c r="K20" s="59">
        <v>0.96</v>
      </c>
      <c r="L20" s="59">
        <v>0.75</v>
      </c>
      <c r="M20" s="59">
        <v>23.32</v>
      </c>
      <c r="O20" s="56" t="s">
        <v>199</v>
      </c>
      <c r="P20" s="10">
        <v>40600</v>
      </c>
    </row>
    <row r="21" spans="3:16" ht="15" x14ac:dyDescent="0.2">
      <c r="C21" s="4" t="s">
        <v>179</v>
      </c>
      <c r="D21" s="4"/>
      <c r="E21" s="17"/>
      <c r="F21" s="1"/>
      <c r="I21" s="60" t="s">
        <v>26</v>
      </c>
      <c r="J21" s="59">
        <v>25.8</v>
      </c>
      <c r="K21" s="59">
        <v>1.08</v>
      </c>
      <c r="L21" s="59">
        <v>0.85</v>
      </c>
      <c r="M21" s="59">
        <v>25</v>
      </c>
      <c r="O21" s="56" t="s">
        <v>176</v>
      </c>
      <c r="P21" s="60">
        <v>0.92</v>
      </c>
    </row>
    <row r="22" spans="3:16" ht="15" x14ac:dyDescent="0.2">
      <c r="C22" s="4" t="s">
        <v>110</v>
      </c>
      <c r="D22" s="4"/>
      <c r="E22" s="16"/>
      <c r="F22" s="1"/>
      <c r="I22" s="60" t="s">
        <v>27</v>
      </c>
      <c r="J22" s="59">
        <v>25.3</v>
      </c>
      <c r="K22" s="59">
        <v>0.6</v>
      </c>
      <c r="L22" s="59">
        <v>0.35</v>
      </c>
      <c r="M22" s="59">
        <v>24.65</v>
      </c>
      <c r="O22" s="56" t="s">
        <v>177</v>
      </c>
      <c r="P22" s="60">
        <v>3</v>
      </c>
    </row>
    <row r="23" spans="3:16" ht="15" x14ac:dyDescent="0.2">
      <c r="C23" s="4" t="s">
        <v>180</v>
      </c>
      <c r="D23" s="4"/>
      <c r="E23" s="17" t="s">
        <v>191</v>
      </c>
      <c r="F23" s="1"/>
      <c r="I23" s="60" t="s">
        <v>28</v>
      </c>
      <c r="J23" s="59">
        <v>25.5</v>
      </c>
      <c r="K23" s="59">
        <v>0.88</v>
      </c>
      <c r="L23" s="59">
        <v>0.55000000000000004</v>
      </c>
      <c r="M23" s="59">
        <v>26</v>
      </c>
      <c r="O23" s="56" t="s">
        <v>175</v>
      </c>
      <c r="P23" s="10">
        <v>3040000</v>
      </c>
    </row>
    <row r="24" spans="3:16" ht="15" x14ac:dyDescent="0.2">
      <c r="C24" s="4" t="s">
        <v>181</v>
      </c>
      <c r="D24" s="4"/>
      <c r="E24" s="25">
        <f>VLOOKUP(E23,I7:M105,5,FALSE)</f>
        <v>0</v>
      </c>
      <c r="F24" s="1"/>
      <c r="I24" s="60" t="s">
        <v>29</v>
      </c>
      <c r="J24" s="59">
        <v>22.8</v>
      </c>
      <c r="K24" s="59">
        <v>0.5</v>
      </c>
      <c r="L24" s="59">
        <v>0</v>
      </c>
      <c r="M24" s="59">
        <v>24.75</v>
      </c>
      <c r="O24" s="56" t="s">
        <v>248</v>
      </c>
      <c r="P24" s="60">
        <v>0.18</v>
      </c>
    </row>
    <row r="25" spans="3:16" ht="15" x14ac:dyDescent="0.2">
      <c r="C25" s="4" t="s">
        <v>178</v>
      </c>
      <c r="D25" s="4"/>
      <c r="E25" s="17"/>
      <c r="F25" s="1"/>
      <c r="I25" s="60" t="s">
        <v>30</v>
      </c>
      <c r="J25" s="59">
        <v>26.2</v>
      </c>
      <c r="K25" s="59">
        <v>1.03</v>
      </c>
      <c r="L25" s="59">
        <v>1.25</v>
      </c>
      <c r="M25" s="59">
        <v>29.9</v>
      </c>
      <c r="O25" s="56" t="s">
        <v>249</v>
      </c>
      <c r="P25" s="60">
        <v>0.37</v>
      </c>
    </row>
    <row r="26" spans="3:16" ht="15" x14ac:dyDescent="0.2">
      <c r="C26" s="4" t="s">
        <v>156</v>
      </c>
      <c r="D26" s="4"/>
      <c r="E26" s="15" t="s">
        <v>4</v>
      </c>
      <c r="F26" s="1"/>
      <c r="I26" s="60" t="s">
        <v>31</v>
      </c>
      <c r="J26" s="59">
        <v>25.8</v>
      </c>
      <c r="K26" s="59">
        <v>0.96</v>
      </c>
      <c r="L26" s="59">
        <v>0.85</v>
      </c>
      <c r="M26" s="59">
        <v>32.5</v>
      </c>
      <c r="O26" s="56" t="s">
        <v>250</v>
      </c>
      <c r="P26" s="10">
        <v>1200</v>
      </c>
    </row>
    <row r="27" spans="3:16" ht="25.5" x14ac:dyDescent="0.2">
      <c r="C27" s="62" t="s">
        <v>260</v>
      </c>
      <c r="D27" s="4"/>
      <c r="E27" s="63"/>
      <c r="F27" s="63"/>
      <c r="I27" s="5" t="s">
        <v>245</v>
      </c>
      <c r="J27" s="59">
        <v>24.8</v>
      </c>
      <c r="K27" s="59">
        <v>0.65</v>
      </c>
      <c r="L27" s="59">
        <v>0</v>
      </c>
      <c r="M27" s="59">
        <v>21.5</v>
      </c>
      <c r="O27" s="56" t="s">
        <v>247</v>
      </c>
      <c r="P27" s="60">
        <v>8</v>
      </c>
    </row>
    <row r="28" spans="3:16" ht="15" x14ac:dyDescent="0.2">
      <c r="I28" s="60" t="s">
        <v>32</v>
      </c>
      <c r="J28" s="59">
        <v>26.1</v>
      </c>
      <c r="K28" s="59">
        <v>1.05</v>
      </c>
      <c r="L28" s="59">
        <v>1.1499999999999999</v>
      </c>
      <c r="M28" s="59">
        <v>22.85</v>
      </c>
      <c r="O28" s="56" t="s">
        <v>231</v>
      </c>
      <c r="P28" s="10">
        <v>424200</v>
      </c>
    </row>
    <row r="29" spans="3:16" ht="15" x14ac:dyDescent="0.2">
      <c r="C29" s="78" t="s">
        <v>236</v>
      </c>
      <c r="D29" s="74"/>
      <c r="E29" s="74"/>
      <c r="F29" s="75"/>
      <c r="I29" s="60" t="s">
        <v>33</v>
      </c>
      <c r="J29" s="59">
        <v>23.63</v>
      </c>
      <c r="K29" s="59">
        <v>0.4</v>
      </c>
      <c r="L29" s="59">
        <v>0</v>
      </c>
      <c r="M29" s="59">
        <v>16</v>
      </c>
      <c r="O29" s="56" t="s">
        <v>233</v>
      </c>
      <c r="P29" s="60">
        <v>0</v>
      </c>
    </row>
    <row r="30" spans="3:16" ht="15" x14ac:dyDescent="0.2">
      <c r="C30" s="41"/>
      <c r="D30" s="2"/>
      <c r="E30" s="8" t="s">
        <v>1</v>
      </c>
      <c r="F30" s="8" t="str">
        <f>IF(E8=S1,"Ægtefælle","ugift")</f>
        <v>ugift</v>
      </c>
      <c r="I30" s="60" t="s">
        <v>34</v>
      </c>
      <c r="J30" s="59">
        <v>23.6</v>
      </c>
      <c r="K30" s="59">
        <v>0.75</v>
      </c>
      <c r="L30" s="59">
        <v>0</v>
      </c>
      <c r="M30" s="59">
        <v>23</v>
      </c>
      <c r="O30" s="56" t="s">
        <v>238</v>
      </c>
      <c r="P30" s="10">
        <v>141500</v>
      </c>
    </row>
    <row r="31" spans="3:16" ht="15" x14ac:dyDescent="0.2">
      <c r="C31" s="69" t="s">
        <v>111</v>
      </c>
      <c r="D31" s="74"/>
      <c r="E31" s="74"/>
      <c r="F31" s="75"/>
      <c r="I31" s="60" t="s">
        <v>35</v>
      </c>
      <c r="J31" s="59">
        <v>23.6</v>
      </c>
      <c r="K31" s="59">
        <v>0.8</v>
      </c>
      <c r="L31" s="59">
        <v>0</v>
      </c>
      <c r="M31" s="59">
        <v>25</v>
      </c>
      <c r="O31" s="56" t="s">
        <v>257</v>
      </c>
      <c r="P31" s="57">
        <v>200300</v>
      </c>
    </row>
    <row r="32" spans="3:16" ht="15" x14ac:dyDescent="0.2">
      <c r="C32" s="4" t="s">
        <v>153</v>
      </c>
      <c r="D32" s="4"/>
      <c r="E32" s="17"/>
      <c r="F32" s="17"/>
      <c r="I32" s="60" t="s">
        <v>36</v>
      </c>
      <c r="J32" s="59">
        <v>24.21</v>
      </c>
      <c r="K32" s="59">
        <v>0.73</v>
      </c>
      <c r="L32" s="59">
        <v>0</v>
      </c>
      <c r="M32" s="59">
        <v>16.940000000000001</v>
      </c>
      <c r="O32" s="56" t="s">
        <v>256</v>
      </c>
      <c r="P32" s="55">
        <v>4.5</v>
      </c>
    </row>
    <row r="33" spans="3:16" ht="15" x14ac:dyDescent="0.2">
      <c r="C33" s="42" t="s">
        <v>203</v>
      </c>
      <c r="D33" s="4"/>
      <c r="E33" s="10">
        <f>E32*P4/100</f>
        <v>0</v>
      </c>
      <c r="F33" s="11">
        <f>F32*P4/100</f>
        <v>0</v>
      </c>
      <c r="I33" s="60" t="s">
        <v>37</v>
      </c>
      <c r="J33" s="59">
        <v>25.4</v>
      </c>
      <c r="K33" s="59">
        <v>0.85</v>
      </c>
      <c r="L33" s="59">
        <v>0.45</v>
      </c>
      <c r="M33" s="59">
        <v>29.34</v>
      </c>
      <c r="O33" s="56" t="s">
        <v>255</v>
      </c>
      <c r="P33" s="57">
        <v>2600</v>
      </c>
    </row>
    <row r="34" spans="3:16" ht="25.5" x14ac:dyDescent="0.2">
      <c r="C34" s="4" t="s">
        <v>223</v>
      </c>
      <c r="D34" s="4"/>
      <c r="E34" s="44">
        <f>Virksomhed!D41</f>
        <v>0</v>
      </c>
      <c r="F34" s="11"/>
      <c r="I34" s="60" t="s">
        <v>38</v>
      </c>
      <c r="J34" s="59">
        <v>25.8</v>
      </c>
      <c r="K34" s="59">
        <v>1.1599999999999999</v>
      </c>
      <c r="L34" s="59">
        <v>0.85</v>
      </c>
      <c r="M34" s="59">
        <v>32.340000000000003</v>
      </c>
      <c r="O34" s="68" t="s">
        <v>262</v>
      </c>
      <c r="P34" s="10">
        <v>74700</v>
      </c>
    </row>
    <row r="35" spans="3:16" ht="15" x14ac:dyDescent="0.2">
      <c r="C35" s="42" t="s">
        <v>203</v>
      </c>
      <c r="D35" s="4"/>
      <c r="E35" s="11">
        <f>MAX(0,E34*P4/100)</f>
        <v>0</v>
      </c>
      <c r="F35" s="11"/>
      <c r="I35" s="60" t="s">
        <v>39</v>
      </c>
      <c r="J35" s="59">
        <v>26.3</v>
      </c>
      <c r="K35" s="59">
        <v>0.95</v>
      </c>
      <c r="L35" s="59">
        <v>1.35</v>
      </c>
      <c r="M35" s="59">
        <v>24.36</v>
      </c>
    </row>
    <row r="36" spans="3:16" ht="25.5" x14ac:dyDescent="0.2">
      <c r="C36" s="4" t="s">
        <v>243</v>
      </c>
      <c r="D36" s="4"/>
      <c r="E36" s="17"/>
      <c r="F36" s="17"/>
      <c r="I36" s="60" t="s">
        <v>40</v>
      </c>
      <c r="J36" s="59">
        <v>25.7</v>
      </c>
      <c r="K36" s="59">
        <v>0.85</v>
      </c>
      <c r="L36" s="59">
        <v>0.75</v>
      </c>
      <c r="M36" s="59">
        <v>34</v>
      </c>
      <c r="O36" s="50"/>
      <c r="P36" s="50"/>
    </row>
    <row r="37" spans="3:16" ht="25.5" x14ac:dyDescent="0.2">
      <c r="C37" s="4" t="s">
        <v>244</v>
      </c>
      <c r="D37" s="4"/>
      <c r="E37" s="17"/>
      <c r="F37" s="17"/>
      <c r="I37" s="60" t="s">
        <v>41</v>
      </c>
      <c r="J37" s="59">
        <v>25.4</v>
      </c>
      <c r="K37" s="59">
        <v>0.98</v>
      </c>
      <c r="L37" s="59">
        <v>0.45</v>
      </c>
      <c r="M37" s="59">
        <v>18</v>
      </c>
      <c r="O37" s="21"/>
      <c r="P37" s="21"/>
    </row>
    <row r="38" spans="3:16" ht="25.5" x14ac:dyDescent="0.2">
      <c r="C38" s="4" t="s">
        <v>112</v>
      </c>
      <c r="D38" s="4"/>
      <c r="E38" s="17"/>
      <c r="F38" s="17"/>
      <c r="I38" s="60" t="s">
        <v>42</v>
      </c>
      <c r="J38" s="59">
        <v>25.44</v>
      </c>
      <c r="K38" s="59">
        <v>0.63</v>
      </c>
      <c r="L38" s="59">
        <v>0.49</v>
      </c>
      <c r="M38" s="59">
        <v>28.5</v>
      </c>
    </row>
    <row r="39" spans="3:16" ht="15" x14ac:dyDescent="0.2">
      <c r="I39" s="60" t="s">
        <v>43</v>
      </c>
      <c r="J39" s="59">
        <v>23.7</v>
      </c>
      <c r="K39" s="59">
        <v>0.75</v>
      </c>
      <c r="L39" s="59">
        <v>0</v>
      </c>
      <c r="M39" s="59">
        <v>24.3</v>
      </c>
    </row>
    <row r="40" spans="3:16" ht="15" x14ac:dyDescent="0.2">
      <c r="C40" s="7" t="s">
        <v>113</v>
      </c>
      <c r="D40" s="7"/>
      <c r="E40" s="11">
        <f>E32-E33+E34-E35+E36+E37-E38</f>
        <v>0</v>
      </c>
      <c r="F40" s="11">
        <f>F32-F33+F36+F37-F38</f>
        <v>0</v>
      </c>
      <c r="I40" s="60" t="s">
        <v>44</v>
      </c>
      <c r="J40" s="59">
        <v>24.9</v>
      </c>
      <c r="K40" s="59">
        <v>0.99</v>
      </c>
      <c r="L40" s="59">
        <v>0</v>
      </c>
      <c r="M40" s="59">
        <v>20.53</v>
      </c>
    </row>
    <row r="41" spans="3:16" ht="15" x14ac:dyDescent="0.2">
      <c r="C41" s="69" t="s">
        <v>114</v>
      </c>
      <c r="D41" s="70"/>
      <c r="E41" s="70"/>
      <c r="F41" s="71"/>
      <c r="I41" s="60" t="s">
        <v>45</v>
      </c>
      <c r="J41" s="59">
        <v>25.85</v>
      </c>
      <c r="K41" s="59">
        <v>0.69</v>
      </c>
      <c r="L41" s="59">
        <v>0.9</v>
      </c>
      <c r="M41" s="59">
        <v>20.65</v>
      </c>
    </row>
    <row r="42" spans="3:16" ht="15" x14ac:dyDescent="0.2">
      <c r="C42" s="4" t="s">
        <v>115</v>
      </c>
      <c r="D42" s="4"/>
      <c r="E42" s="17"/>
      <c r="F42" s="17"/>
      <c r="I42" s="60" t="s">
        <v>46</v>
      </c>
      <c r="J42" s="59">
        <v>26.1</v>
      </c>
      <c r="K42" s="59">
        <v>1.19</v>
      </c>
      <c r="L42" s="59">
        <v>1.1499999999999999</v>
      </c>
      <c r="M42" s="59">
        <v>34</v>
      </c>
    </row>
    <row r="43" spans="3:16" ht="15" x14ac:dyDescent="0.2">
      <c r="C43" s="4" t="s">
        <v>116</v>
      </c>
      <c r="D43" s="4"/>
      <c r="E43" s="17"/>
      <c r="F43" s="17"/>
      <c r="I43" s="60" t="s">
        <v>47</v>
      </c>
      <c r="J43" s="59">
        <v>25.3</v>
      </c>
      <c r="K43" s="59">
        <v>0.96</v>
      </c>
      <c r="L43" s="59">
        <v>0.35</v>
      </c>
      <c r="M43" s="59">
        <v>25.09</v>
      </c>
    </row>
    <row r="44" spans="3:16" ht="15" x14ac:dyDescent="0.2">
      <c r="C44" s="4" t="s">
        <v>117</v>
      </c>
      <c r="D44" s="4"/>
      <c r="E44" s="17"/>
      <c r="F44" s="17"/>
      <c r="I44" s="60" t="s">
        <v>48</v>
      </c>
      <c r="J44" s="59">
        <v>25.5</v>
      </c>
      <c r="K44" s="59">
        <v>1.08</v>
      </c>
      <c r="L44" s="59">
        <v>0.55000000000000004</v>
      </c>
      <c r="M44" s="59">
        <v>24.12</v>
      </c>
    </row>
    <row r="45" spans="3:16" ht="15" x14ac:dyDescent="0.2">
      <c r="C45" s="4" t="s">
        <v>222</v>
      </c>
      <c r="D45" s="4"/>
      <c r="E45" s="11">
        <f>E42+E43-E44</f>
        <v>0</v>
      </c>
      <c r="F45" s="11">
        <f>F42+F43-F44</f>
        <v>0</v>
      </c>
      <c r="I45" s="60" t="s">
        <v>49</v>
      </c>
      <c r="J45" s="59">
        <v>25.31</v>
      </c>
      <c r="K45" s="59">
        <v>0.81</v>
      </c>
      <c r="L45" s="59">
        <v>0.36</v>
      </c>
      <c r="M45" s="59">
        <v>22.56</v>
      </c>
    </row>
    <row r="46" spans="3:16" ht="25.5" x14ac:dyDescent="0.2">
      <c r="C46" s="4" t="s">
        <v>225</v>
      </c>
      <c r="D46" s="4"/>
      <c r="E46" s="43">
        <f>Virksomhed!D46</f>
        <v>0</v>
      </c>
      <c r="F46" s="11"/>
      <c r="I46" s="60" t="s">
        <v>50</v>
      </c>
      <c r="J46" s="59">
        <v>25.5</v>
      </c>
      <c r="K46" s="59">
        <v>0.72</v>
      </c>
      <c r="L46" s="59">
        <v>0.55000000000000004</v>
      </c>
      <c r="M46" s="59">
        <v>29.7</v>
      </c>
    </row>
    <row r="47" spans="3:16" ht="15" x14ac:dyDescent="0.2">
      <c r="C47" s="7" t="s">
        <v>118</v>
      </c>
      <c r="D47" s="7"/>
      <c r="E47" s="11">
        <f>E45+E46</f>
        <v>0</v>
      </c>
      <c r="F47" s="11">
        <f>F45</f>
        <v>0</v>
      </c>
      <c r="I47" s="60" t="s">
        <v>51</v>
      </c>
      <c r="J47" s="59">
        <v>24.6</v>
      </c>
      <c r="K47" s="59">
        <v>0.8</v>
      </c>
      <c r="L47" s="59">
        <v>0</v>
      </c>
      <c r="M47" s="59">
        <v>24.4</v>
      </c>
    </row>
    <row r="48" spans="3:16" ht="15" x14ac:dyDescent="0.2">
      <c r="C48" s="69" t="s">
        <v>119</v>
      </c>
      <c r="D48" s="70"/>
      <c r="E48" s="70"/>
      <c r="F48" s="71"/>
      <c r="I48" s="60" t="s">
        <v>52</v>
      </c>
      <c r="J48" s="59">
        <v>23.7</v>
      </c>
      <c r="K48" s="59">
        <v>0.62</v>
      </c>
      <c r="L48" s="59">
        <v>0</v>
      </c>
      <c r="M48" s="59">
        <v>22.1</v>
      </c>
    </row>
    <row r="49" spans="3:13" ht="15" x14ac:dyDescent="0.2">
      <c r="C49" s="4" t="s">
        <v>120</v>
      </c>
      <c r="D49" s="4"/>
      <c r="E49" s="17" t="s">
        <v>192</v>
      </c>
      <c r="F49" s="17" t="s">
        <v>192</v>
      </c>
      <c r="I49" s="60" t="s">
        <v>53</v>
      </c>
      <c r="J49" s="59">
        <v>25.1</v>
      </c>
      <c r="K49" s="59">
        <v>0.97</v>
      </c>
      <c r="L49" s="59">
        <v>0.15</v>
      </c>
      <c r="M49" s="59">
        <v>20.350000000000001</v>
      </c>
    </row>
    <row r="50" spans="3:13" ht="15" x14ac:dyDescent="0.2">
      <c r="C50" s="4" t="s">
        <v>121</v>
      </c>
      <c r="D50" s="4"/>
      <c r="E50" s="17"/>
      <c r="F50" s="17"/>
      <c r="I50" s="60" t="s">
        <v>54</v>
      </c>
      <c r="J50" s="59">
        <v>25</v>
      </c>
      <c r="K50" s="59">
        <v>0.9</v>
      </c>
      <c r="L50" s="59">
        <v>0.05</v>
      </c>
      <c r="M50" s="59">
        <v>25</v>
      </c>
    </row>
    <row r="51" spans="3:13" ht="15" x14ac:dyDescent="0.2">
      <c r="C51" s="4" t="s">
        <v>122</v>
      </c>
      <c r="D51" s="11">
        <f>P18</f>
        <v>6500</v>
      </c>
      <c r="E51" s="17"/>
      <c r="F51" s="17"/>
      <c r="I51" s="60" t="s">
        <v>55</v>
      </c>
      <c r="J51" s="59">
        <v>25.7</v>
      </c>
      <c r="K51" s="59">
        <v>1.2</v>
      </c>
      <c r="L51" s="59">
        <v>0.75</v>
      </c>
      <c r="M51" s="59">
        <v>32.85</v>
      </c>
    </row>
    <row r="52" spans="3:13" ht="25.5" x14ac:dyDescent="0.2">
      <c r="C52" s="4" t="s">
        <v>123</v>
      </c>
      <c r="D52" s="1"/>
      <c r="E52" s="17"/>
      <c r="F52" s="17"/>
      <c r="I52" s="60" t="s">
        <v>56</v>
      </c>
      <c r="J52" s="59">
        <v>24.4</v>
      </c>
      <c r="K52" s="59">
        <v>1.01</v>
      </c>
      <c r="L52" s="59">
        <v>0</v>
      </c>
      <c r="M52" s="59">
        <v>34</v>
      </c>
    </row>
    <row r="53" spans="3:13" ht="15" x14ac:dyDescent="0.2">
      <c r="C53" s="4" t="s">
        <v>124</v>
      </c>
      <c r="D53" s="1"/>
      <c r="E53" s="17"/>
      <c r="F53" s="17"/>
      <c r="I53" s="60" t="s">
        <v>57</v>
      </c>
      <c r="J53" s="59">
        <v>26.2</v>
      </c>
      <c r="K53" s="59">
        <v>0.98</v>
      </c>
      <c r="L53" s="59">
        <v>1.25</v>
      </c>
      <c r="M53" s="59">
        <v>30.3</v>
      </c>
    </row>
    <row r="54" spans="3:13" ht="15" x14ac:dyDescent="0.2">
      <c r="C54" s="4" t="s">
        <v>125</v>
      </c>
      <c r="D54" s="1"/>
      <c r="E54" s="11">
        <f>MIN(MAX(0,(E32+MAX(0,E34+E27)))*P19/100,P20)</f>
        <v>0</v>
      </c>
      <c r="F54" s="11">
        <f>MIN(MAX(0,F32+F27)*P19/100,P20)</f>
        <v>0</v>
      </c>
      <c r="I54" s="60" t="s">
        <v>58</v>
      </c>
      <c r="J54" s="59">
        <v>25.5</v>
      </c>
      <c r="K54" s="59">
        <v>0.92</v>
      </c>
      <c r="L54" s="59">
        <v>0.55000000000000004</v>
      </c>
      <c r="M54" s="59">
        <v>25</v>
      </c>
    </row>
    <row r="55" spans="3:13" ht="15" x14ac:dyDescent="0.2">
      <c r="C55" s="4" t="s">
        <v>254</v>
      </c>
      <c r="D55" s="1"/>
      <c r="E55" s="11">
        <f>MIN(MAX(0,MAX(0,(E32+MAX(0,E34+E27)))-P31)*P32/100,P33)</f>
        <v>0</v>
      </c>
      <c r="F55" s="11">
        <f>MIN(MAX(0,MAX(0,F32+F27)-P31)*P32/100,P33)</f>
        <v>0</v>
      </c>
      <c r="I55" s="60" t="s">
        <v>59</v>
      </c>
      <c r="J55" s="59">
        <v>23.8</v>
      </c>
      <c r="K55" s="59">
        <v>0.8</v>
      </c>
      <c r="L55" s="59">
        <v>0</v>
      </c>
      <c r="M55" s="59">
        <v>34</v>
      </c>
    </row>
    <row r="56" spans="3:13" ht="15" x14ac:dyDescent="0.2">
      <c r="C56" s="62" t="s">
        <v>261</v>
      </c>
      <c r="D56" s="1"/>
      <c r="E56" s="11">
        <f>IF(E10="ja",MIN(P34,E27+E38)*0.12,MIN(P34,E27+E38)*0.32)</f>
        <v>0</v>
      </c>
      <c r="F56" s="11">
        <f>IF(F10="ja",MIN(P34,F27+F38)*0.12,MIN(P34,F27+F38)*0.32)</f>
        <v>0</v>
      </c>
      <c r="I56" s="60" t="s">
        <v>60</v>
      </c>
      <c r="J56" s="59">
        <v>24.9</v>
      </c>
      <c r="K56" s="59">
        <v>0.87</v>
      </c>
      <c r="L56" s="59">
        <v>0</v>
      </c>
      <c r="M56" s="59">
        <v>21.04</v>
      </c>
    </row>
    <row r="57" spans="3:13" ht="15" x14ac:dyDescent="0.2">
      <c r="C57" s="7" t="s">
        <v>126</v>
      </c>
      <c r="D57" s="1"/>
      <c r="E57" s="11">
        <f>SUM(E49:E56)</f>
        <v>0</v>
      </c>
      <c r="F57" s="11">
        <f>SUM(F49:F56)</f>
        <v>0</v>
      </c>
      <c r="I57" s="60" t="s">
        <v>61</v>
      </c>
      <c r="J57" s="59">
        <v>26.3</v>
      </c>
      <c r="K57" s="59">
        <v>1.1399999999999999</v>
      </c>
      <c r="L57" s="59">
        <v>1.35</v>
      </c>
      <c r="M57" s="59">
        <v>24.57</v>
      </c>
    </row>
    <row r="58" spans="3:13" ht="15" x14ac:dyDescent="0.2">
      <c r="C58" s="69" t="s">
        <v>127</v>
      </c>
      <c r="D58" s="71"/>
      <c r="E58" s="12">
        <f>E40+E47-E57</f>
        <v>0</v>
      </c>
      <c r="F58" s="12">
        <f>F40+F47-F57</f>
        <v>0</v>
      </c>
      <c r="I58" s="60" t="s">
        <v>62</v>
      </c>
      <c r="J58" s="59">
        <v>25.31</v>
      </c>
      <c r="K58" s="59">
        <v>1.05</v>
      </c>
      <c r="L58" s="59">
        <v>0.36</v>
      </c>
      <c r="M58" s="59">
        <v>28.23</v>
      </c>
    </row>
    <row r="59" spans="3:13" ht="15" x14ac:dyDescent="0.2">
      <c r="I59" s="60" t="s">
        <v>63</v>
      </c>
      <c r="J59" s="59">
        <v>25.2</v>
      </c>
      <c r="K59" s="59">
        <v>1.27</v>
      </c>
      <c r="L59" s="59">
        <v>0.25</v>
      </c>
      <c r="M59" s="59">
        <v>28</v>
      </c>
    </row>
    <row r="60" spans="3:13" ht="15" x14ac:dyDescent="0.2">
      <c r="C60" s="81" t="s">
        <v>128</v>
      </c>
      <c r="D60" s="82"/>
      <c r="E60" s="82"/>
      <c r="F60" s="83"/>
      <c r="I60" s="60" t="s">
        <v>64</v>
      </c>
      <c r="J60" s="59">
        <v>26.3</v>
      </c>
      <c r="K60" s="59">
        <v>1.23</v>
      </c>
      <c r="L60" s="59">
        <v>1.35</v>
      </c>
      <c r="M60" s="59">
        <v>33.090000000000003</v>
      </c>
    </row>
    <row r="61" spans="3:13" ht="25.5" x14ac:dyDescent="0.2">
      <c r="C61" s="4" t="s">
        <v>240</v>
      </c>
      <c r="D61" s="1"/>
      <c r="E61" s="17" t="s">
        <v>192</v>
      </c>
      <c r="F61" s="17" t="s">
        <v>192</v>
      </c>
      <c r="I61" s="60" t="s">
        <v>65</v>
      </c>
      <c r="J61" s="59">
        <v>24.38</v>
      </c>
      <c r="K61" s="59">
        <v>0.63</v>
      </c>
      <c r="L61" s="59">
        <v>0</v>
      </c>
      <c r="M61" s="59">
        <v>21.49</v>
      </c>
    </row>
    <row r="62" spans="3:13" ht="25.5" x14ac:dyDescent="0.2">
      <c r="C62" s="4" t="s">
        <v>241</v>
      </c>
      <c r="D62" s="1"/>
      <c r="E62" s="17" t="s">
        <v>192</v>
      </c>
      <c r="F62" s="17"/>
      <c r="I62" s="60" t="s">
        <v>66</v>
      </c>
      <c r="J62" s="59">
        <v>26.3</v>
      </c>
      <c r="K62" s="59">
        <v>1.3</v>
      </c>
      <c r="L62" s="59">
        <v>1.35</v>
      </c>
      <c r="M62" s="59">
        <v>34</v>
      </c>
    </row>
    <row r="63" spans="3:13" ht="15" x14ac:dyDescent="0.2">
      <c r="C63" s="7" t="s">
        <v>129</v>
      </c>
      <c r="D63" s="1"/>
      <c r="E63" s="11">
        <f>SUM(E61:E62)</f>
        <v>0</v>
      </c>
      <c r="F63" s="11">
        <f>SUM(F61:F62)</f>
        <v>0</v>
      </c>
      <c r="I63" s="60" t="s">
        <v>67</v>
      </c>
      <c r="J63" s="59">
        <v>25.9</v>
      </c>
      <c r="K63" s="59">
        <v>1.1499999999999999</v>
      </c>
      <c r="L63" s="59">
        <v>0.95</v>
      </c>
      <c r="M63" s="59">
        <v>34</v>
      </c>
    </row>
    <row r="64" spans="3:13" ht="15" x14ac:dyDescent="0.2">
      <c r="C64" s="32"/>
      <c r="E64" s="10"/>
      <c r="F64" s="10"/>
      <c r="I64" s="60" t="s">
        <v>68</v>
      </c>
      <c r="J64" s="59">
        <v>25.8</v>
      </c>
      <c r="K64" s="59">
        <v>0.9</v>
      </c>
      <c r="L64" s="59">
        <v>0.85</v>
      </c>
      <c r="M64" s="59">
        <v>21.29</v>
      </c>
    </row>
    <row r="65" spans="1:13" ht="15" x14ac:dyDescent="0.2">
      <c r="C65" s="78" t="s">
        <v>182</v>
      </c>
      <c r="D65" s="79"/>
      <c r="E65" s="79"/>
      <c r="F65" s="80"/>
      <c r="I65" s="60" t="s">
        <v>69</v>
      </c>
      <c r="J65" s="59">
        <v>25.8</v>
      </c>
      <c r="K65" s="59">
        <v>1.2</v>
      </c>
      <c r="L65" s="59">
        <v>0.85</v>
      </c>
      <c r="M65" s="59">
        <v>24.68</v>
      </c>
    </row>
    <row r="66" spans="1:13" ht="15" x14ac:dyDescent="0.2">
      <c r="A66" s="60"/>
      <c r="B66" s="60"/>
      <c r="C66" s="8"/>
      <c r="D66" s="19"/>
      <c r="E66" s="8" t="s">
        <v>1</v>
      </c>
      <c r="F66" s="8" t="str">
        <f>IF(E8=S1,"Ægtefælle","ugift")</f>
        <v>ugift</v>
      </c>
      <c r="I66" s="60" t="s">
        <v>70</v>
      </c>
      <c r="J66" s="59">
        <v>26.3</v>
      </c>
      <c r="K66" s="59">
        <v>1</v>
      </c>
      <c r="L66" s="59">
        <v>1.35</v>
      </c>
      <c r="M66" s="59">
        <v>34</v>
      </c>
    </row>
    <row r="67" spans="1:13" ht="15" x14ac:dyDescent="0.2">
      <c r="A67" s="60"/>
      <c r="B67" s="60"/>
      <c r="C67" s="69" t="s">
        <v>142</v>
      </c>
      <c r="D67" s="70"/>
      <c r="E67" s="70"/>
      <c r="F67" s="71"/>
      <c r="I67" s="60" t="s">
        <v>71</v>
      </c>
      <c r="J67" s="59">
        <v>26</v>
      </c>
      <c r="K67" s="59">
        <v>1.04</v>
      </c>
      <c r="L67" s="59">
        <v>1.05</v>
      </c>
      <c r="M67" s="59">
        <v>29.98</v>
      </c>
    </row>
    <row r="68" spans="1:13" ht="15" x14ac:dyDescent="0.2">
      <c r="A68" s="60"/>
      <c r="B68" s="60"/>
      <c r="C68" s="4" t="s">
        <v>130</v>
      </c>
      <c r="D68" s="1"/>
      <c r="E68" s="11">
        <f>E58</f>
        <v>0</v>
      </c>
      <c r="F68" s="11" t="str">
        <f>IF(Gift,F58,"ugift")</f>
        <v>ugift</v>
      </c>
      <c r="I68" s="60" t="s">
        <v>72</v>
      </c>
      <c r="J68" s="59">
        <v>26.3</v>
      </c>
      <c r="K68" s="59">
        <v>1.1000000000000001</v>
      </c>
      <c r="L68" s="59">
        <v>1.35</v>
      </c>
      <c r="M68" s="59">
        <v>27.83</v>
      </c>
    </row>
    <row r="69" spans="1:13" ht="15" x14ac:dyDescent="0.2">
      <c r="A69" s="60"/>
      <c r="B69" s="60"/>
      <c r="C69" s="4" t="s">
        <v>131</v>
      </c>
      <c r="D69" s="1"/>
      <c r="E69" s="11">
        <f>IF(E9=S1,(-1)*P11,(-1)*P12)</f>
        <v>-46700</v>
      </c>
      <c r="F69" s="11" t="str">
        <f>IF(Gift,IF(F9=S1,(-1)*P11,(-1)*P12),"ugift")</f>
        <v>ugift</v>
      </c>
      <c r="I69" s="60" t="s">
        <v>73</v>
      </c>
      <c r="J69" s="59">
        <v>25</v>
      </c>
      <c r="K69" s="59">
        <v>0.98</v>
      </c>
      <c r="L69" s="59">
        <v>0.05</v>
      </c>
      <c r="M69" s="59">
        <v>25</v>
      </c>
    </row>
    <row r="70" spans="1:13" ht="15" x14ac:dyDescent="0.2">
      <c r="A70" s="60"/>
      <c r="B70" s="60"/>
      <c r="C70" s="7" t="s">
        <v>132</v>
      </c>
      <c r="D70" s="1"/>
      <c r="E70" s="11">
        <f>SUM(E68:E69)</f>
        <v>-46700</v>
      </c>
      <c r="F70" s="11" t="str">
        <f>IF(Gift,SUM(F68:F69),"ugift")</f>
        <v>ugift</v>
      </c>
      <c r="I70" s="60" t="s">
        <v>74</v>
      </c>
      <c r="J70" s="59">
        <v>25.1</v>
      </c>
      <c r="K70" s="59">
        <v>0.95</v>
      </c>
      <c r="L70" s="59">
        <v>0.15</v>
      </c>
      <c r="M70" s="59">
        <v>30.32</v>
      </c>
    </row>
    <row r="71" spans="1:13" ht="15" x14ac:dyDescent="0.2">
      <c r="A71" s="1">
        <f>IF(E11=S1,E14+E15,E14)+P6</f>
        <v>26.400000000000002</v>
      </c>
      <c r="B71" s="1">
        <f>IF(F11=S1,E14+E15,E14)+P6</f>
        <v>26.400000000000002</v>
      </c>
      <c r="C71" s="1" t="s">
        <v>133</v>
      </c>
      <c r="D71" s="1"/>
      <c r="E71" s="11">
        <f>E70*A71/100</f>
        <v>-12328.8</v>
      </c>
      <c r="F71" s="11" t="str">
        <f>IF(Gift,F70*B71/100,"ugift")</f>
        <v>ugift</v>
      </c>
      <c r="I71" s="60" t="s">
        <v>75</v>
      </c>
      <c r="J71" s="59">
        <v>25.43</v>
      </c>
      <c r="K71" s="59">
        <v>0.68</v>
      </c>
      <c r="L71" s="59">
        <v>0.48</v>
      </c>
      <c r="M71" s="59">
        <v>21.71</v>
      </c>
    </row>
    <row r="72" spans="1:13" ht="15" x14ac:dyDescent="0.2">
      <c r="C72" s="1" t="s">
        <v>136</v>
      </c>
      <c r="D72" s="1"/>
      <c r="E72" s="11">
        <f>IF(Gift,E71+F71,E71)</f>
        <v>-12328.8</v>
      </c>
      <c r="F72" s="10"/>
      <c r="I72" s="60" t="s">
        <v>76</v>
      </c>
      <c r="J72" s="59">
        <v>26.3</v>
      </c>
      <c r="K72" s="59">
        <v>0.98</v>
      </c>
      <c r="L72" s="59">
        <v>1.35</v>
      </c>
      <c r="M72" s="59">
        <v>34</v>
      </c>
    </row>
    <row r="73" spans="1:13" ht="15" x14ac:dyDescent="0.2">
      <c r="C73" s="69" t="s">
        <v>134</v>
      </c>
      <c r="D73" s="70"/>
      <c r="E73" s="70"/>
      <c r="F73" s="71"/>
      <c r="I73" s="60" t="s">
        <v>77</v>
      </c>
      <c r="J73" s="59">
        <v>25.8</v>
      </c>
      <c r="K73" s="59">
        <v>0.89</v>
      </c>
      <c r="L73" s="59">
        <v>0.85</v>
      </c>
      <c r="M73" s="59">
        <v>27.93</v>
      </c>
    </row>
    <row r="74" spans="1:13" ht="15" x14ac:dyDescent="0.2">
      <c r="C74" s="4" t="s">
        <v>111</v>
      </c>
      <c r="D74" s="1"/>
      <c r="E74" s="11">
        <f>E40</f>
        <v>0</v>
      </c>
      <c r="F74" s="11" t="str">
        <f>IF(Gift,F40,"ugift")</f>
        <v>ugift</v>
      </c>
      <c r="I74" s="60" t="s">
        <v>78</v>
      </c>
      <c r="J74" s="59">
        <v>25.33</v>
      </c>
      <c r="K74" s="59">
        <v>1.2</v>
      </c>
      <c r="L74" s="59">
        <v>0.38</v>
      </c>
      <c r="M74" s="59">
        <v>26.09</v>
      </c>
    </row>
    <row r="75" spans="1:13" ht="15" x14ac:dyDescent="0.2">
      <c r="C75" s="1" t="s">
        <v>135</v>
      </c>
      <c r="D75" s="1"/>
      <c r="E75" s="11">
        <f>IF(Gift,IF(E47&gt;=0,IF(F47&gt;=0,E47,MAX(0,E47+F47)),0),MAX(E47,0))</f>
        <v>0</v>
      </c>
      <c r="F75" s="11" t="str">
        <f>IF(Gift,IF(E47&gt;=0,IF(F47&gt;=0,F47,0),IF(F47&gt;=0,MAX(0,E47+F47),0)),"ugift")</f>
        <v>ugift</v>
      </c>
      <c r="I75" s="60" t="s">
        <v>79</v>
      </c>
      <c r="J75" s="59">
        <v>25</v>
      </c>
      <c r="K75" s="59">
        <v>1.05</v>
      </c>
      <c r="L75" s="59">
        <v>0.05</v>
      </c>
      <c r="M75" s="59">
        <v>31</v>
      </c>
    </row>
    <row r="76" spans="1:13" ht="15" x14ac:dyDescent="0.2">
      <c r="C76" s="4" t="s">
        <v>131</v>
      </c>
      <c r="D76" s="1"/>
      <c r="E76" s="11">
        <f>E69</f>
        <v>-46700</v>
      </c>
      <c r="F76" s="11" t="str">
        <f>F69</f>
        <v>ugift</v>
      </c>
      <c r="I76" s="60" t="s">
        <v>80</v>
      </c>
      <c r="J76" s="59">
        <v>26.1</v>
      </c>
      <c r="K76" s="59">
        <v>0.95</v>
      </c>
      <c r="L76" s="59">
        <v>1.1499999999999999</v>
      </c>
      <c r="M76" s="59">
        <v>24.74</v>
      </c>
    </row>
    <row r="77" spans="1:13" ht="15" x14ac:dyDescent="0.2">
      <c r="C77" s="7" t="s">
        <v>132</v>
      </c>
      <c r="D77" s="1"/>
      <c r="E77" s="11">
        <f>SUM(E74:E76)</f>
        <v>-46700</v>
      </c>
      <c r="F77" s="11" t="str">
        <f>IF(Gift,SUM(F74:F76),"ugift")</f>
        <v>ugift</v>
      </c>
      <c r="I77" s="60" t="s">
        <v>81</v>
      </c>
      <c r="J77" s="59">
        <v>25.2</v>
      </c>
      <c r="K77" s="59">
        <v>0.84</v>
      </c>
      <c r="L77" s="59">
        <v>0.25</v>
      </c>
      <c r="M77" s="59">
        <v>25.69</v>
      </c>
    </row>
    <row r="78" spans="1:13" ht="15" x14ac:dyDescent="0.2">
      <c r="B78" s="1">
        <f>P5</f>
        <v>12.09</v>
      </c>
      <c r="C78" s="1" t="s">
        <v>133</v>
      </c>
      <c r="D78" s="1"/>
      <c r="E78" s="11">
        <f>E77*B78/100</f>
        <v>-5646.03</v>
      </c>
      <c r="F78" s="11" t="str">
        <f>IF(Gift,F77*B78/100,"ugift")</f>
        <v>ugift</v>
      </c>
      <c r="I78" s="60" t="s">
        <v>82</v>
      </c>
      <c r="J78" s="59">
        <v>23.09</v>
      </c>
      <c r="K78" s="59">
        <v>0.56000000000000005</v>
      </c>
      <c r="L78" s="59">
        <v>0</v>
      </c>
      <c r="M78" s="59">
        <v>22.93</v>
      </c>
    </row>
    <row r="79" spans="1:13" ht="15" x14ac:dyDescent="0.2">
      <c r="C79" s="1" t="s">
        <v>136</v>
      </c>
      <c r="D79" s="1"/>
      <c r="E79" s="11">
        <f>IF(Gift,E78+F78,E78)</f>
        <v>-5646.03</v>
      </c>
      <c r="I79" s="60" t="s">
        <v>83</v>
      </c>
      <c r="J79" s="59">
        <v>25.7</v>
      </c>
      <c r="K79" s="59">
        <v>0.72</v>
      </c>
      <c r="L79" s="59">
        <v>0.75</v>
      </c>
      <c r="M79" s="59">
        <v>30.8</v>
      </c>
    </row>
    <row r="80" spans="1:13" ht="15" x14ac:dyDescent="0.2">
      <c r="C80" s="78" t="s">
        <v>137</v>
      </c>
      <c r="D80" s="79"/>
      <c r="E80" s="79"/>
      <c r="F80" s="80"/>
      <c r="I80" s="60" t="s">
        <v>84</v>
      </c>
      <c r="J80" s="59">
        <v>25.9</v>
      </c>
      <c r="K80" s="59">
        <v>1.22</v>
      </c>
      <c r="L80" s="59">
        <v>0.95</v>
      </c>
      <c r="M80" s="59">
        <v>30.75</v>
      </c>
    </row>
    <row r="81" spans="2:13" ht="15" x14ac:dyDescent="0.2">
      <c r="C81" s="4" t="s">
        <v>111</v>
      </c>
      <c r="D81" s="1"/>
      <c r="E81" s="11">
        <f>E40</f>
        <v>0</v>
      </c>
      <c r="F81" s="11" t="str">
        <f>IF(Gift,F40,"ugift")</f>
        <v>ugift</v>
      </c>
      <c r="I81" s="60" t="s">
        <v>85</v>
      </c>
      <c r="J81" s="59">
        <v>25.5</v>
      </c>
      <c r="K81" s="59">
        <v>0.95</v>
      </c>
      <c r="L81" s="59">
        <v>0.55000000000000004</v>
      </c>
      <c r="M81" s="59">
        <v>28.26</v>
      </c>
    </row>
    <row r="82" spans="2:13" ht="15" x14ac:dyDescent="0.2">
      <c r="C82" s="4" t="s">
        <v>138</v>
      </c>
      <c r="D82" s="1"/>
      <c r="E82" s="11">
        <f>-P8</f>
        <v>-544800</v>
      </c>
      <c r="F82" s="11" t="str">
        <f>IF(Gift,-P8,"ugift")</f>
        <v>ugift</v>
      </c>
      <c r="I82" s="60" t="s">
        <v>86</v>
      </c>
      <c r="J82" s="59">
        <v>25.82</v>
      </c>
      <c r="K82" s="59">
        <v>0.86</v>
      </c>
      <c r="L82" s="59">
        <v>0.87</v>
      </c>
      <c r="M82" s="59">
        <v>24.66</v>
      </c>
    </row>
    <row r="83" spans="2:13" ht="15" x14ac:dyDescent="0.2">
      <c r="C83" s="7" t="s">
        <v>132</v>
      </c>
      <c r="D83" s="1"/>
      <c r="E83" s="11">
        <f>SUM(E81:E82)</f>
        <v>-544800</v>
      </c>
      <c r="F83" s="11" t="str">
        <f>IF(Gift,SUM(F81:F82),"ugift")</f>
        <v>ugift</v>
      </c>
      <c r="I83" s="60" t="s">
        <v>87</v>
      </c>
      <c r="J83" s="59">
        <v>25.5</v>
      </c>
      <c r="K83" s="59">
        <v>1.0900000000000001</v>
      </c>
      <c r="L83" s="59">
        <v>0.55000000000000004</v>
      </c>
      <c r="M83" s="59">
        <v>20.68</v>
      </c>
    </row>
    <row r="84" spans="2:13" ht="15" x14ac:dyDescent="0.2">
      <c r="B84" s="1">
        <f>IF((E14+P6+P5+P7)&gt;P9,P7-(E14+P6+P5+P7-P9),P7)</f>
        <v>14.370000000000005</v>
      </c>
      <c r="C84" s="1" t="s">
        <v>133</v>
      </c>
      <c r="D84" s="1"/>
      <c r="E84" s="11">
        <f>E83*B84/100</f>
        <v>-78287.760000000024</v>
      </c>
      <c r="F84" s="11" t="str">
        <f>IF(Gift,F83*B84/100,"ugift")</f>
        <v>ugift</v>
      </c>
      <c r="I84" s="60" t="s">
        <v>88</v>
      </c>
      <c r="J84" s="59">
        <v>25.1</v>
      </c>
      <c r="K84" s="59">
        <v>0.96</v>
      </c>
      <c r="L84" s="59">
        <v>0.15</v>
      </c>
      <c r="M84" s="59">
        <v>25.3</v>
      </c>
    </row>
    <row r="85" spans="2:13" ht="15" x14ac:dyDescent="0.2">
      <c r="C85" s="13" t="s">
        <v>228</v>
      </c>
      <c r="D85" s="1"/>
      <c r="E85" s="11">
        <f>IF(Gift,MAX(0,E84)+MAX(0,F84),MAX(0,E84))</f>
        <v>0</v>
      </c>
      <c r="I85" s="60" t="s">
        <v>89</v>
      </c>
      <c r="J85" s="59">
        <v>24.71</v>
      </c>
      <c r="K85" s="59">
        <v>0.89</v>
      </c>
      <c r="L85" s="59">
        <v>0</v>
      </c>
      <c r="M85" s="59">
        <v>20.95</v>
      </c>
    </row>
    <row r="86" spans="2:13" ht="15" x14ac:dyDescent="0.2">
      <c r="C86" s="4" t="s">
        <v>139</v>
      </c>
      <c r="D86" s="11">
        <f>IF(Gift,P14*2,P14)</f>
        <v>46800</v>
      </c>
      <c r="E86" s="11">
        <f>IF(Gift,IF(E83&gt;=F83,MAX(0,E75+F75-D86),""),MAX(0,E75-D86))</f>
        <v>0</v>
      </c>
      <c r="F86" s="11" t="str">
        <f>IF(Gift,IF(E83&lt;F83,MAX(0,E75+F75-D86),""),"ugift")</f>
        <v>ugift</v>
      </c>
      <c r="I86" s="60" t="s">
        <v>90</v>
      </c>
      <c r="J86" s="59">
        <v>26.3</v>
      </c>
      <c r="K86" s="59">
        <v>0.95</v>
      </c>
      <c r="L86" s="59">
        <v>1.35</v>
      </c>
      <c r="M86" s="59">
        <v>25.74</v>
      </c>
    </row>
    <row r="87" spans="2:13" ht="15" x14ac:dyDescent="0.2">
      <c r="C87" s="4" t="s">
        <v>138</v>
      </c>
      <c r="D87" s="1"/>
      <c r="E87" s="11">
        <f>IF(Gift,IF(E83&gt;=F83,(-1)*IF(E40&gt;=P8,0,P8-(E40)),""),(-1)*IF(E40&gt;=P8,0,P8-(E40)))</f>
        <v>-544800</v>
      </c>
      <c r="F87" s="11" t="str">
        <f>IF(Gift,IF(E83&lt;F83,(-1)*IF(F40&gt;=P8,0,P8-(F40)),""),"ugift")</f>
        <v>ugift</v>
      </c>
      <c r="I87" s="60" t="s">
        <v>91</v>
      </c>
      <c r="J87" s="59">
        <v>26</v>
      </c>
      <c r="K87" s="59">
        <v>1.1000000000000001</v>
      </c>
      <c r="L87" s="59">
        <v>1.05</v>
      </c>
      <c r="M87" s="59">
        <v>21.52</v>
      </c>
    </row>
    <row r="88" spans="2:13" ht="15" x14ac:dyDescent="0.2">
      <c r="C88" s="7" t="s">
        <v>132</v>
      </c>
      <c r="D88" s="1"/>
      <c r="E88" s="11">
        <f>IF(Gift,IF(E83&gt;=F83,E86+E87,""),E86+E87)</f>
        <v>-544800</v>
      </c>
      <c r="F88" s="11" t="str">
        <f>IF(Gift,IF(E83&lt;F83,F86+F87,""),"ugift")</f>
        <v>ugift</v>
      </c>
      <c r="I88" s="60" t="s">
        <v>92</v>
      </c>
      <c r="J88" s="59">
        <v>25.3</v>
      </c>
      <c r="K88" s="59">
        <v>1.2</v>
      </c>
      <c r="L88" s="59">
        <v>0.35</v>
      </c>
      <c r="M88" s="59">
        <v>22.9</v>
      </c>
    </row>
    <row r="89" spans="2:13" ht="15" x14ac:dyDescent="0.2">
      <c r="B89" s="1">
        <f>IF((E14+P6+P5+P7)&gt;P10,P7-(E14+P6+P5+P7-P10),P7)</f>
        <v>4.3100000000000023</v>
      </c>
      <c r="C89" s="4" t="s">
        <v>133</v>
      </c>
      <c r="D89" s="1"/>
      <c r="E89" s="11">
        <f>IF(Gift,IF(E83&gt;=F83,E88*B89/100,""),E88*B89/100)</f>
        <v>-23480.880000000016</v>
      </c>
      <c r="F89" s="11" t="str">
        <f>IF(Gift,IF(E83&lt;F83,F88*B89/100,""),"ugift")</f>
        <v>ugift</v>
      </c>
      <c r="I89" s="60" t="s">
        <v>93</v>
      </c>
      <c r="J89" s="59">
        <v>26.3</v>
      </c>
      <c r="K89" s="59">
        <v>1.02</v>
      </c>
      <c r="L89" s="59">
        <v>1.35</v>
      </c>
      <c r="M89" s="59">
        <v>23.32</v>
      </c>
    </row>
    <row r="90" spans="2:13" ht="15" x14ac:dyDescent="0.2">
      <c r="C90" s="13" t="s">
        <v>140</v>
      </c>
      <c r="D90" s="1"/>
      <c r="E90" s="11">
        <f>IF(Gift,IF(E83&gt;=F83,MAX(0,E89),MAX(0,F89)),MAX(0,E89))</f>
        <v>0</v>
      </c>
      <c r="I90" s="60" t="s">
        <v>94</v>
      </c>
      <c r="J90" s="59">
        <v>25.9</v>
      </c>
      <c r="K90" s="59">
        <v>1</v>
      </c>
      <c r="L90" s="59">
        <v>0.95</v>
      </c>
      <c r="M90" s="59">
        <v>33.799999999999997</v>
      </c>
    </row>
    <row r="91" spans="2:13" ht="15" x14ac:dyDescent="0.2">
      <c r="C91" s="1" t="s">
        <v>136</v>
      </c>
      <c r="D91" s="1"/>
      <c r="E91" s="11">
        <f>E85+E90</f>
        <v>0</v>
      </c>
      <c r="I91" s="60" t="s">
        <v>95</v>
      </c>
      <c r="J91" s="59">
        <v>25.7</v>
      </c>
      <c r="K91" s="59">
        <v>0.91</v>
      </c>
      <c r="L91" s="59">
        <v>0.75</v>
      </c>
      <c r="M91" s="59">
        <v>27.1</v>
      </c>
    </row>
    <row r="92" spans="2:13" ht="15" x14ac:dyDescent="0.2">
      <c r="E92" s="10"/>
      <c r="I92" s="60" t="s">
        <v>96</v>
      </c>
      <c r="J92" s="59">
        <v>25.5</v>
      </c>
      <c r="K92" s="59">
        <v>1.27</v>
      </c>
      <c r="L92" s="59">
        <v>0.55000000000000004</v>
      </c>
      <c r="M92" s="59">
        <v>23.75</v>
      </c>
    </row>
    <row r="93" spans="2:13" ht="15" x14ac:dyDescent="0.2">
      <c r="C93" s="78" t="s">
        <v>230</v>
      </c>
      <c r="D93" s="74"/>
      <c r="E93" s="74"/>
      <c r="F93" s="75"/>
      <c r="I93" s="60" t="s">
        <v>97</v>
      </c>
      <c r="J93" s="59">
        <v>25.3</v>
      </c>
      <c r="K93" s="59">
        <v>1.1599999999999999</v>
      </c>
      <c r="L93" s="59">
        <v>0.35</v>
      </c>
      <c r="M93" s="59">
        <v>21.24</v>
      </c>
    </row>
    <row r="94" spans="2:13" ht="15" x14ac:dyDescent="0.2">
      <c r="C94" s="41" t="s">
        <v>229</v>
      </c>
      <c r="D94" s="8"/>
      <c r="E94" s="11">
        <f>E37</f>
        <v>0</v>
      </c>
      <c r="F94" s="11" t="str">
        <f>IF(Gift,F37,"ugift")</f>
        <v>ugift</v>
      </c>
      <c r="I94" s="60" t="s">
        <v>98</v>
      </c>
      <c r="J94" s="59">
        <v>23.1</v>
      </c>
      <c r="K94" s="59">
        <v>0.61</v>
      </c>
      <c r="L94" s="59">
        <v>0</v>
      </c>
      <c r="M94" s="59">
        <v>24</v>
      </c>
    </row>
    <row r="95" spans="2:13" ht="15" x14ac:dyDescent="0.2">
      <c r="C95" s="41" t="s">
        <v>232</v>
      </c>
      <c r="D95" s="8"/>
      <c r="E95" s="11">
        <f>P28</f>
        <v>424200</v>
      </c>
      <c r="F95" s="11" t="str">
        <f>IF(Gift,P28,"ugift")</f>
        <v>ugift</v>
      </c>
      <c r="I95" s="60" t="s">
        <v>99</v>
      </c>
      <c r="J95" s="59">
        <v>25.6</v>
      </c>
      <c r="K95" s="59">
        <v>0.8</v>
      </c>
      <c r="L95" s="59">
        <v>0.65</v>
      </c>
      <c r="M95" s="59">
        <v>24.38</v>
      </c>
    </row>
    <row r="96" spans="2:13" ht="15" x14ac:dyDescent="0.2">
      <c r="C96" s="41" t="s">
        <v>239</v>
      </c>
      <c r="D96" s="8"/>
      <c r="E96" s="11">
        <f>IF(Gift,MAX(MIN(MAX(0,(-1)*(F94-F95)),P29-MAX(0,F40)),0),0)</f>
        <v>0</v>
      </c>
      <c r="F96" s="11" t="str">
        <f>IF(Gift,MAX(MIN(MAX(0,(-1)*(E94-E95)),P29-MAX(0,E40)),0),"ugift")</f>
        <v>ugift</v>
      </c>
      <c r="I96" s="60" t="s">
        <v>100</v>
      </c>
      <c r="J96" s="59">
        <v>25.1</v>
      </c>
      <c r="K96" s="59">
        <v>0.96</v>
      </c>
      <c r="L96" s="59">
        <v>0.15</v>
      </c>
      <c r="M96" s="59">
        <v>31.56</v>
      </c>
    </row>
    <row r="97" spans="2:13" ht="15" x14ac:dyDescent="0.2">
      <c r="C97" s="45" t="s">
        <v>132</v>
      </c>
      <c r="D97" s="1"/>
      <c r="E97" s="11">
        <f>E94-(E95+E96)</f>
        <v>-424200</v>
      </c>
      <c r="F97" s="11" t="str">
        <f>IF(Gift,F94-(F95+F96),"ugift")</f>
        <v>ugift</v>
      </c>
      <c r="I97" s="60" t="s">
        <v>101</v>
      </c>
      <c r="J97" s="59">
        <v>25.2</v>
      </c>
      <c r="K97" s="59">
        <v>1.06</v>
      </c>
      <c r="L97" s="59">
        <v>0.25</v>
      </c>
      <c r="M97" s="59">
        <v>20.36</v>
      </c>
    </row>
    <row r="98" spans="2:13" ht="15" x14ac:dyDescent="0.2">
      <c r="B98" s="66">
        <f>P29</f>
        <v>0</v>
      </c>
      <c r="C98" s="1" t="s">
        <v>133</v>
      </c>
      <c r="D98" s="1"/>
      <c r="E98" s="11">
        <f>E97*B98/100</f>
        <v>0</v>
      </c>
      <c r="F98" s="11" t="str">
        <f>IF(Gift,F97*B98/100,"ugift")</f>
        <v>ugift</v>
      </c>
      <c r="I98" s="60" t="s">
        <v>102</v>
      </c>
      <c r="J98" s="59">
        <v>23.4</v>
      </c>
      <c r="K98" s="59">
        <v>0.89</v>
      </c>
      <c r="L98" s="59">
        <v>0</v>
      </c>
      <c r="M98" s="59">
        <v>27.75</v>
      </c>
    </row>
    <row r="99" spans="2:13" ht="15" x14ac:dyDescent="0.2">
      <c r="C99" s="1" t="s">
        <v>234</v>
      </c>
      <c r="D99" s="1"/>
      <c r="E99" s="11">
        <f>IF(E98&gt;0,E98,0)</f>
        <v>0</v>
      </c>
      <c r="F99" s="11" t="str">
        <f>IF(Gift,IF(F98&gt;0,F98,0),"ugift")</f>
        <v>ugift</v>
      </c>
      <c r="I99" s="60" t="s">
        <v>103</v>
      </c>
      <c r="J99" s="59">
        <v>26.3</v>
      </c>
      <c r="K99" s="59">
        <v>1.18</v>
      </c>
      <c r="L99" s="59">
        <v>1.35</v>
      </c>
      <c r="M99" s="59">
        <v>22.82</v>
      </c>
    </row>
    <row r="100" spans="2:13" ht="15" x14ac:dyDescent="0.2">
      <c r="C100" s="41" t="s">
        <v>136</v>
      </c>
      <c r="D100" s="1"/>
      <c r="E100" s="11">
        <f>IF(Gift,E99+F99,E99)</f>
        <v>0</v>
      </c>
      <c r="I100" s="60" t="s">
        <v>104</v>
      </c>
      <c r="J100" s="59">
        <v>25.5</v>
      </c>
      <c r="K100" s="59">
        <v>0.93</v>
      </c>
      <c r="L100" s="59">
        <v>0.55000000000000004</v>
      </c>
      <c r="M100" s="59">
        <v>23.7</v>
      </c>
    </row>
    <row r="101" spans="2:13" ht="15" x14ac:dyDescent="0.2">
      <c r="E101" s="10"/>
      <c r="I101" s="60" t="s">
        <v>105</v>
      </c>
      <c r="J101" s="59">
        <v>25.2</v>
      </c>
      <c r="K101" s="59">
        <v>1.02</v>
      </c>
      <c r="L101" s="59">
        <v>0.25</v>
      </c>
      <c r="M101" s="59">
        <v>32.32</v>
      </c>
    </row>
    <row r="102" spans="2:13" ht="15" x14ac:dyDescent="0.2">
      <c r="B102" s="10"/>
      <c r="C102" s="69" t="s">
        <v>149</v>
      </c>
      <c r="D102" s="70"/>
      <c r="E102" s="70"/>
      <c r="F102" s="71"/>
      <c r="I102" s="60" t="s">
        <v>106</v>
      </c>
      <c r="J102" s="59">
        <v>26.1</v>
      </c>
      <c r="K102" s="59">
        <v>1.07</v>
      </c>
      <c r="L102" s="59">
        <v>1.1499999999999999</v>
      </c>
      <c r="M102" s="59">
        <v>30</v>
      </c>
    </row>
    <row r="103" spans="2:13" ht="15" x14ac:dyDescent="0.2">
      <c r="B103" s="10"/>
      <c r="C103" s="4" t="s">
        <v>128</v>
      </c>
      <c r="D103" s="1"/>
      <c r="E103" s="11">
        <f>E63</f>
        <v>0</v>
      </c>
      <c r="F103" s="11" t="str">
        <f>IF(Gift,F63,"ugift")</f>
        <v>ugift</v>
      </c>
      <c r="I103" s="60" t="s">
        <v>107</v>
      </c>
      <c r="J103" s="59">
        <v>25.6</v>
      </c>
      <c r="K103" s="59">
        <v>0.95</v>
      </c>
      <c r="L103" s="59">
        <v>0.65</v>
      </c>
      <c r="M103" s="59">
        <v>18.899999999999999</v>
      </c>
    </row>
    <row r="104" spans="2:13" ht="15" x14ac:dyDescent="0.2">
      <c r="B104" s="53">
        <f>IF(E104&lt;0,-1,1)</f>
        <v>1</v>
      </c>
      <c r="C104" s="1" t="s">
        <v>132</v>
      </c>
      <c r="D104" s="1"/>
      <c r="E104" s="11">
        <f>IF(Gift,E103+F103,E103)</f>
        <v>0</v>
      </c>
      <c r="I104" s="60" t="s">
        <v>108</v>
      </c>
      <c r="J104" s="59">
        <v>25.4</v>
      </c>
      <c r="K104" s="59">
        <v>0.98</v>
      </c>
      <c r="L104" s="59">
        <v>0.45</v>
      </c>
      <c r="M104" s="59">
        <v>26.95</v>
      </c>
    </row>
    <row r="105" spans="2:13" ht="15" x14ac:dyDescent="0.2">
      <c r="B105" s="11">
        <f>P15</f>
        <v>27</v>
      </c>
      <c r="C105" s="1" t="s">
        <v>150</v>
      </c>
      <c r="D105" s="11">
        <f>IF(Gift,P17*2,P17)</f>
        <v>56500</v>
      </c>
      <c r="E105" s="11">
        <f>IF(B104*E104&lt;=D105,E104*B105/100,B104*D105*B105/100)</f>
        <v>0</v>
      </c>
      <c r="I105" s="5" t="s">
        <v>194</v>
      </c>
      <c r="J105" s="59">
        <v>24.51</v>
      </c>
      <c r="K105" s="59">
        <v>0.74</v>
      </c>
      <c r="L105" s="59">
        <v>0</v>
      </c>
      <c r="M105" s="59">
        <v>24.58</v>
      </c>
    </row>
    <row r="106" spans="2:13" x14ac:dyDescent="0.2">
      <c r="B106" s="11">
        <f>P16</f>
        <v>42</v>
      </c>
      <c r="C106" s="1" t="s">
        <v>151</v>
      </c>
      <c r="D106" s="11">
        <f>IF(Gift,P17*2,P17)</f>
        <v>56500</v>
      </c>
      <c r="E106" s="11">
        <f>IF(B104*E104&gt;D106,B104*(B104*E104-D106)*B106/100,0)</f>
        <v>0</v>
      </c>
      <c r="I106" s="60"/>
      <c r="J106" s="60"/>
      <c r="K106" s="60"/>
      <c r="L106" s="60"/>
      <c r="M106" s="60"/>
    </row>
    <row r="107" spans="2:13" x14ac:dyDescent="0.2">
      <c r="C107" s="1" t="s">
        <v>136</v>
      </c>
      <c r="D107" s="1"/>
      <c r="E107" s="11">
        <f>SUM(E105:E106)</f>
        <v>0</v>
      </c>
      <c r="I107" s="86" t="s">
        <v>259</v>
      </c>
      <c r="J107" s="86"/>
      <c r="K107" s="86"/>
      <c r="L107" s="86"/>
      <c r="M107" s="86"/>
    </row>
    <row r="108" spans="2:13" x14ac:dyDescent="0.2">
      <c r="F108" s="10"/>
    </row>
    <row r="109" spans="2:13" x14ac:dyDescent="0.2">
      <c r="C109" s="69" t="s">
        <v>152</v>
      </c>
      <c r="D109" s="70"/>
      <c r="E109" s="70"/>
      <c r="F109" s="71"/>
    </row>
    <row r="110" spans="2:13" x14ac:dyDescent="0.2">
      <c r="C110" s="4" t="s">
        <v>202</v>
      </c>
      <c r="D110" s="1"/>
      <c r="E110" s="11">
        <f>E32</f>
        <v>0</v>
      </c>
      <c r="F110" s="11" t="str">
        <f>IF(Gift,F32,"ugift")</f>
        <v>ugift</v>
      </c>
    </row>
    <row r="111" spans="2:13" ht="25.5" x14ac:dyDescent="0.2">
      <c r="C111" s="4" t="s">
        <v>224</v>
      </c>
      <c r="D111" s="1"/>
      <c r="E111" s="11">
        <f>MAX(0,E34)</f>
        <v>0</v>
      </c>
      <c r="F111" s="11"/>
    </row>
    <row r="112" spans="2:13" x14ac:dyDescent="0.2">
      <c r="C112" s="7" t="s">
        <v>132</v>
      </c>
      <c r="D112" s="1"/>
      <c r="E112" s="11">
        <f>SUM(E110:E111)</f>
        <v>0</v>
      </c>
      <c r="F112" s="11" t="str">
        <f>IF(Gift,SUM(F110),"ugift")</f>
        <v>ugift</v>
      </c>
    </row>
    <row r="113" spans="2:6" x14ac:dyDescent="0.2">
      <c r="B113" s="1">
        <f>P4</f>
        <v>8</v>
      </c>
      <c r="C113" s="1" t="s">
        <v>133</v>
      </c>
      <c r="D113" s="1"/>
      <c r="E113" s="11">
        <f>E112*B113/100</f>
        <v>0</v>
      </c>
      <c r="F113" s="11" t="str">
        <f>IF(Gift,F112*B113/100,"ugift")</f>
        <v>ugift</v>
      </c>
    </row>
    <row r="114" spans="2:6" x14ac:dyDescent="0.2">
      <c r="C114" s="1" t="s">
        <v>136</v>
      </c>
      <c r="D114" s="1"/>
      <c r="E114" s="11">
        <f>IF(Gift,E113+F113,E113)</f>
        <v>0</v>
      </c>
    </row>
    <row r="115" spans="2:6" x14ac:dyDescent="0.2">
      <c r="E115" s="10"/>
    </row>
    <row r="116" spans="2:6" x14ac:dyDescent="0.2">
      <c r="C116" s="2" t="s">
        <v>196</v>
      </c>
      <c r="D116" s="19"/>
      <c r="E116" s="40"/>
      <c r="F116" s="20"/>
    </row>
    <row r="117" spans="2:6" x14ac:dyDescent="0.2">
      <c r="C117" s="1" t="s">
        <v>197</v>
      </c>
      <c r="D117" s="1"/>
      <c r="E117" s="11">
        <f>E47</f>
        <v>0</v>
      </c>
      <c r="F117" s="11" t="str">
        <f>IF(Gift,F47,"ugift")</f>
        <v>ugift</v>
      </c>
    </row>
    <row r="118" spans="2:6" x14ac:dyDescent="0.2">
      <c r="C118" s="35" t="s">
        <v>132</v>
      </c>
      <c r="D118" s="36"/>
      <c r="E118" s="37">
        <f>IF(Gift,MIN(0,MAX(E117+F117,-100000)),MIN(0,MAX(E117,-50000)))</f>
        <v>0</v>
      </c>
    </row>
    <row r="119" spans="2:6" x14ac:dyDescent="0.2">
      <c r="B119" s="1">
        <f>P27</f>
        <v>8</v>
      </c>
      <c r="C119" s="1" t="s">
        <v>133</v>
      </c>
      <c r="D119" s="1"/>
      <c r="E119" s="11">
        <f>E118*B119/100</f>
        <v>0</v>
      </c>
    </row>
    <row r="120" spans="2:6" x14ac:dyDescent="0.2">
      <c r="C120" s="38" t="s">
        <v>136</v>
      </c>
      <c r="D120" s="38"/>
      <c r="E120" s="39">
        <f>E119</f>
        <v>0</v>
      </c>
    </row>
    <row r="122" spans="2:6" x14ac:dyDescent="0.2">
      <c r="C122" s="69" t="s">
        <v>242</v>
      </c>
      <c r="D122" s="71"/>
      <c r="E122" s="23">
        <f>MAX(0,MAX(0,E72+E79+E91+E100+E106+E120)+E105)+E114</f>
        <v>0</v>
      </c>
    </row>
    <row r="123" spans="2:6" x14ac:dyDescent="0.2">
      <c r="C123" s="29"/>
      <c r="E123" s="30"/>
    </row>
    <row r="124" spans="2:6" x14ac:dyDescent="0.2">
      <c r="C124" s="78" t="s">
        <v>189</v>
      </c>
      <c r="D124" s="79"/>
      <c r="E124" s="80"/>
    </row>
    <row r="125" spans="2:6" x14ac:dyDescent="0.2">
      <c r="C125" s="26"/>
    </row>
    <row r="126" spans="2:6" x14ac:dyDescent="0.2">
      <c r="C126" s="69" t="s">
        <v>143</v>
      </c>
      <c r="D126" s="70"/>
      <c r="E126" s="71"/>
    </row>
    <row r="127" spans="2:6" x14ac:dyDescent="0.2">
      <c r="C127" s="7" t="s">
        <v>144</v>
      </c>
      <c r="D127" s="1"/>
      <c r="E127" s="11">
        <f>E18+E19</f>
        <v>0</v>
      </c>
    </row>
    <row r="128" spans="2:6" x14ac:dyDescent="0.2">
      <c r="B128" s="1">
        <f>P21</f>
        <v>0.92</v>
      </c>
      <c r="C128" s="1" t="s">
        <v>145</v>
      </c>
      <c r="D128" s="11">
        <f>P23</f>
        <v>3040000</v>
      </c>
      <c r="E128" s="11">
        <f>IF(E127&lt;=D128,E127*B128/100,D128*B128/100)</f>
        <v>0</v>
      </c>
    </row>
    <row r="129" spans="2:5" x14ac:dyDescent="0.2">
      <c r="B129" s="1">
        <f>P22</f>
        <v>3</v>
      </c>
      <c r="C129" s="1" t="s">
        <v>146</v>
      </c>
      <c r="D129" s="11">
        <f>P23</f>
        <v>3040000</v>
      </c>
      <c r="E129" s="11">
        <f>IF(E127&gt;D129,(E127-D129)*B129/100,0)</f>
        <v>0</v>
      </c>
    </row>
    <row r="130" spans="2:5" x14ac:dyDescent="0.2">
      <c r="C130" s="1" t="s">
        <v>10</v>
      </c>
      <c r="D130" s="11"/>
      <c r="E130" s="11" t="str">
        <f>IF(E20=S1,IF(E18&gt;0,(-1)*(E127*P24/100+MIN(E127*P25/100,P26)),IF(E19&gt;0,(-1)*(E127*P24/100),"")),"")</f>
        <v/>
      </c>
    </row>
    <row r="131" spans="2:5" x14ac:dyDescent="0.2">
      <c r="C131" s="4" t="s">
        <v>147</v>
      </c>
      <c r="D131" s="1"/>
      <c r="E131" s="11">
        <f>SUM(E128:E130)</f>
        <v>0</v>
      </c>
    </row>
    <row r="132" spans="2:5" x14ac:dyDescent="0.2">
      <c r="C132" s="7" t="s">
        <v>148</v>
      </c>
      <c r="D132" s="1"/>
      <c r="E132" s="11">
        <f>E22</f>
        <v>0</v>
      </c>
    </row>
    <row r="133" spans="2:5" x14ac:dyDescent="0.2">
      <c r="B133" s="1">
        <f>P21</f>
        <v>0.92</v>
      </c>
      <c r="C133" s="1" t="s">
        <v>145</v>
      </c>
      <c r="D133" s="11">
        <f>P23</f>
        <v>3040000</v>
      </c>
      <c r="E133" s="11">
        <f>IF(E132&lt;=D133,E132*B133/100,D133*B133/100)</f>
        <v>0</v>
      </c>
    </row>
    <row r="134" spans="2:5" x14ac:dyDescent="0.2">
      <c r="B134" s="1">
        <f>P22</f>
        <v>3</v>
      </c>
      <c r="C134" s="1" t="s">
        <v>146</v>
      </c>
      <c r="D134" s="11">
        <f>P23</f>
        <v>3040000</v>
      </c>
      <c r="E134" s="11">
        <f>IF(E132&gt;D134,(E132-D134)*B134/100,0)</f>
        <v>0</v>
      </c>
    </row>
    <row r="135" spans="2:5" x14ac:dyDescent="0.2">
      <c r="C135" s="1" t="s">
        <v>10</v>
      </c>
      <c r="D135" s="11"/>
      <c r="E135" s="11" t="str">
        <f>IF(E26=S1,(-1)*(E132*P24/100+MIN(E132*P25/100,P26)),"")</f>
        <v/>
      </c>
    </row>
    <row r="136" spans="2:5" x14ac:dyDescent="0.2">
      <c r="C136" s="4" t="s">
        <v>154</v>
      </c>
      <c r="D136" s="1"/>
      <c r="E136" s="11">
        <f>SUM(E133:E135)</f>
        <v>0</v>
      </c>
    </row>
    <row r="137" spans="2:5" x14ac:dyDescent="0.2">
      <c r="C137" s="4" t="s">
        <v>136</v>
      </c>
      <c r="D137" s="1"/>
      <c r="E137" s="11">
        <f>E131+E136</f>
        <v>0</v>
      </c>
    </row>
    <row r="138" spans="2:5" x14ac:dyDescent="0.2">
      <c r="C138" s="9"/>
      <c r="E138" s="10"/>
    </row>
    <row r="139" spans="2:5" x14ac:dyDescent="0.2">
      <c r="C139" s="24" t="s">
        <v>186</v>
      </c>
      <c r="D139" s="19"/>
      <c r="E139" s="27"/>
    </row>
    <row r="140" spans="2:5" x14ac:dyDescent="0.2">
      <c r="C140" s="28" t="s">
        <v>187</v>
      </c>
      <c r="D140" s="1"/>
      <c r="E140" s="11">
        <f>E21</f>
        <v>0</v>
      </c>
    </row>
    <row r="141" spans="2:5" x14ac:dyDescent="0.2">
      <c r="B141" s="1">
        <f>E16</f>
        <v>33.94</v>
      </c>
      <c r="C141" s="4" t="s">
        <v>188</v>
      </c>
      <c r="D141" s="11">
        <f>E21</f>
        <v>0</v>
      </c>
      <c r="E141" s="11">
        <f>B141*D141/1000</f>
        <v>0</v>
      </c>
    </row>
    <row r="142" spans="2:5" x14ac:dyDescent="0.2">
      <c r="C142" s="28" t="s">
        <v>178</v>
      </c>
      <c r="D142" s="1"/>
      <c r="E142" s="11">
        <f>E25</f>
        <v>0</v>
      </c>
    </row>
    <row r="143" spans="2:5" x14ac:dyDescent="0.2">
      <c r="B143" s="25">
        <f>E24</f>
        <v>0</v>
      </c>
      <c r="C143" s="4" t="s">
        <v>188</v>
      </c>
      <c r="D143" s="11">
        <f>E25</f>
        <v>0</v>
      </c>
      <c r="E143" s="11">
        <f>E142*B143/1000</f>
        <v>0</v>
      </c>
    </row>
    <row r="144" spans="2:5" x14ac:dyDescent="0.2">
      <c r="B144" s="31"/>
      <c r="C144" s="4" t="s">
        <v>136</v>
      </c>
      <c r="D144" s="11"/>
      <c r="E144" s="11">
        <f>E141+E143</f>
        <v>0</v>
      </c>
    </row>
    <row r="145" spans="3:5" x14ac:dyDescent="0.2">
      <c r="C145" s="9"/>
      <c r="E145" s="10"/>
    </row>
    <row r="146" spans="3:5" x14ac:dyDescent="0.2">
      <c r="C146" s="69" t="s">
        <v>185</v>
      </c>
      <c r="D146" s="71"/>
      <c r="E146" s="23">
        <f>E137+E144</f>
        <v>0</v>
      </c>
    </row>
    <row r="148" spans="3:5" x14ac:dyDescent="0.2">
      <c r="C148" s="78" t="s">
        <v>190</v>
      </c>
      <c r="D148" s="79"/>
      <c r="E148" s="80"/>
    </row>
    <row r="149" spans="3:5" x14ac:dyDescent="0.2">
      <c r="C149" s="1" t="s">
        <v>183</v>
      </c>
      <c r="D149" s="1"/>
      <c r="E149" s="11">
        <f>E122</f>
        <v>0</v>
      </c>
    </row>
    <row r="150" spans="3:5" x14ac:dyDescent="0.2">
      <c r="C150" s="1" t="s">
        <v>184</v>
      </c>
      <c r="D150" s="1"/>
      <c r="E150" s="11">
        <f>E146</f>
        <v>0</v>
      </c>
    </row>
    <row r="151" spans="3:5" x14ac:dyDescent="0.2">
      <c r="C151" s="78" t="s">
        <v>136</v>
      </c>
      <c r="D151" s="80"/>
      <c r="E151" s="23">
        <f>SUM(E149:E150)</f>
        <v>0</v>
      </c>
    </row>
  </sheetData>
  <sheetProtection sheet="1" objects="1" scenarios="1"/>
  <mergeCells count="24">
    <mergeCell ref="I107:M107"/>
    <mergeCell ref="C122:D122"/>
    <mergeCell ref="C109:F109"/>
    <mergeCell ref="C102:F102"/>
    <mergeCell ref="C80:F80"/>
    <mergeCell ref="C93:F93"/>
    <mergeCell ref="C151:D151"/>
    <mergeCell ref="C126:E126"/>
    <mergeCell ref="C146:D146"/>
    <mergeCell ref="C124:E124"/>
    <mergeCell ref="C148:E148"/>
    <mergeCell ref="O1:P1"/>
    <mergeCell ref="C41:F41"/>
    <mergeCell ref="C65:F65"/>
    <mergeCell ref="C60:F60"/>
    <mergeCell ref="C58:D58"/>
    <mergeCell ref="C48:F48"/>
    <mergeCell ref="C2:F2"/>
    <mergeCell ref="C29:F29"/>
    <mergeCell ref="C67:F67"/>
    <mergeCell ref="C73:F73"/>
    <mergeCell ref="C3:F4"/>
    <mergeCell ref="C31:F31"/>
    <mergeCell ref="I1:M1"/>
  </mergeCells>
  <dataValidations count="3">
    <dataValidation type="list" allowBlank="1" showInputMessage="1" showErrorMessage="1" sqref="E20 F9:F11 E8:E11 E26" xr:uid="{00000000-0002-0000-0000-000002000000}">
      <formula1>$S$1:$S$2</formula1>
    </dataValidation>
    <dataValidation type="list" allowBlank="1" showInputMessage="1" showErrorMessage="1" sqref="E13" xr:uid="{00000000-0002-0000-0000-000000000000}">
      <formula1>$I$8:$I$105</formula1>
    </dataValidation>
    <dataValidation type="list" allowBlank="1" showInputMessage="1" showErrorMessage="1" sqref="E23" xr:uid="{00000000-0002-0000-0000-000001000000}">
      <formula1>$I$7:$I$105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rowBreaks count="4" manualBreakCount="4">
    <brk id="26" max="5" man="1"/>
    <brk id="59" max="5" man="1"/>
    <brk id="119" max="5" man="1"/>
    <brk id="14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K46"/>
  <sheetViews>
    <sheetView workbookViewId="0">
      <selection activeCell="D7" sqref="D7"/>
    </sheetView>
  </sheetViews>
  <sheetFormatPr defaultRowHeight="12.75" x14ac:dyDescent="0.2"/>
  <cols>
    <col min="2" max="2" width="34.5703125" customWidth="1"/>
    <col min="3" max="3" width="11.5703125" customWidth="1"/>
    <col min="4" max="4" width="12" customWidth="1"/>
    <col min="5" max="5" width="11.5703125" customWidth="1"/>
    <col min="6" max="6" width="17.140625" customWidth="1"/>
    <col min="7" max="7" width="22.42578125" customWidth="1"/>
    <col min="8" max="8" width="8.5703125" customWidth="1"/>
    <col min="9" max="11" width="0" hidden="1" customWidth="1"/>
  </cols>
  <sheetData>
    <row r="1" spans="2:11" ht="18" x14ac:dyDescent="0.25">
      <c r="B1" s="90" t="s">
        <v>200</v>
      </c>
      <c r="C1" s="90"/>
      <c r="D1" s="90"/>
      <c r="E1" s="21"/>
      <c r="F1" s="76" t="s">
        <v>160</v>
      </c>
      <c r="G1" s="73"/>
      <c r="I1" s="47" t="s">
        <v>208</v>
      </c>
      <c r="J1" s="47">
        <v>1</v>
      </c>
      <c r="K1" s="48" t="s">
        <v>209</v>
      </c>
    </row>
    <row r="2" spans="2:11" x14ac:dyDescent="0.2">
      <c r="B2" s="21"/>
      <c r="C2" s="21"/>
      <c r="D2" s="21"/>
      <c r="E2" s="21"/>
      <c r="I2" s="47" t="s">
        <v>207</v>
      </c>
      <c r="J2" s="47">
        <v>2</v>
      </c>
      <c r="K2" s="48" t="s">
        <v>210</v>
      </c>
    </row>
    <row r="3" spans="2:11" x14ac:dyDescent="0.2">
      <c r="B3" s="89" t="s">
        <v>226</v>
      </c>
      <c r="C3" s="89"/>
      <c r="D3" s="89"/>
      <c r="E3" s="21"/>
      <c r="F3" s="22">
        <v>2021</v>
      </c>
      <c r="I3" s="47" t="s">
        <v>206</v>
      </c>
      <c r="J3" s="47">
        <v>3</v>
      </c>
      <c r="K3" s="48" t="s">
        <v>211</v>
      </c>
    </row>
    <row r="4" spans="2:11" x14ac:dyDescent="0.2">
      <c r="B4" s="89"/>
      <c r="C4" s="89"/>
      <c r="D4" s="89"/>
      <c r="E4" s="21"/>
      <c r="F4" t="s">
        <v>227</v>
      </c>
      <c r="G4">
        <v>0</v>
      </c>
      <c r="I4" s="47"/>
      <c r="J4" s="47"/>
      <c r="K4" s="47"/>
    </row>
    <row r="5" spans="2:11" x14ac:dyDescent="0.2">
      <c r="B5" s="89"/>
      <c r="C5" s="89"/>
      <c r="D5" s="89"/>
      <c r="E5" s="21"/>
      <c r="I5" s="47" t="s">
        <v>221</v>
      </c>
      <c r="J5" s="47">
        <f>VLOOKUP(C13,I1:K3,2,FALSE)</f>
        <v>1</v>
      </c>
      <c r="K5" s="47"/>
    </row>
    <row r="6" spans="2:11" x14ac:dyDescent="0.2">
      <c r="B6" s="21"/>
      <c r="C6" s="21"/>
      <c r="D6" s="21"/>
      <c r="E6" s="21"/>
      <c r="F6" s="46"/>
    </row>
    <row r="7" spans="2:11" x14ac:dyDescent="0.2">
      <c r="B7" s="1" t="s">
        <v>201</v>
      </c>
      <c r="C7" s="1"/>
      <c r="D7" s="49"/>
      <c r="G7" s="54"/>
    </row>
    <row r="8" spans="2:11" x14ac:dyDescent="0.2">
      <c r="B8" s="1" t="s">
        <v>115</v>
      </c>
      <c r="C8" s="49"/>
      <c r="D8" s="1"/>
    </row>
    <row r="9" spans="2:11" x14ac:dyDescent="0.2">
      <c r="B9" s="1" t="s">
        <v>117</v>
      </c>
      <c r="C9" s="49"/>
      <c r="D9" s="1"/>
    </row>
    <row r="10" spans="2:11" x14ac:dyDescent="0.2">
      <c r="B10" s="1" t="s">
        <v>213</v>
      </c>
      <c r="C10" s="11">
        <f>C8-C9</f>
        <v>0</v>
      </c>
      <c r="D10" s="11">
        <f>C10</f>
        <v>0</v>
      </c>
    </row>
    <row r="11" spans="2:11" x14ac:dyDescent="0.2">
      <c r="B11" s="8" t="s">
        <v>204</v>
      </c>
      <c r="C11" s="8"/>
      <c r="D11" s="11">
        <f>D7+D10</f>
        <v>0</v>
      </c>
    </row>
    <row r="13" spans="2:11" x14ac:dyDescent="0.2">
      <c r="B13" s="1" t="s">
        <v>205</v>
      </c>
      <c r="C13" s="87" t="s">
        <v>208</v>
      </c>
      <c r="D13" s="88"/>
    </row>
    <row r="15" spans="2:11" x14ac:dyDescent="0.2">
      <c r="B15" s="91" t="str">
        <f>VLOOKUP(C13,I1:K3,3,FALSE)</f>
        <v>Nedenstående skal ikke udfyldes, da beskatning efter alm. personskatteregler:</v>
      </c>
      <c r="C15" s="91"/>
      <c r="D15" s="91"/>
    </row>
    <row r="16" spans="2:11" x14ac:dyDescent="0.2">
      <c r="B16" s="91"/>
      <c r="C16" s="91"/>
      <c r="D16" s="91"/>
    </row>
    <row r="18" spans="1:4" x14ac:dyDescent="0.2">
      <c r="B18" s="1" t="s">
        <v>214</v>
      </c>
      <c r="C18" s="1"/>
      <c r="D18" s="49"/>
    </row>
    <row r="19" spans="1:4" x14ac:dyDescent="0.2">
      <c r="B19" s="1" t="s">
        <v>219</v>
      </c>
      <c r="C19" s="17"/>
      <c r="D19" s="11">
        <f>IF(Skatteordning=2,0,IF(Skatteordning=3,C19,0))</f>
        <v>0</v>
      </c>
    </row>
    <row r="20" spans="1:4" x14ac:dyDescent="0.2">
      <c r="B20" s="45" t="s">
        <v>215</v>
      </c>
      <c r="C20" s="1"/>
      <c r="D20" s="11">
        <f>D18-D19</f>
        <v>0</v>
      </c>
    </row>
    <row r="21" spans="1:4" x14ac:dyDescent="0.2">
      <c r="A21" s="1">
        <f>G4</f>
        <v>0</v>
      </c>
      <c r="B21" s="1" t="s">
        <v>216</v>
      </c>
      <c r="C21" s="1"/>
      <c r="D21" s="11">
        <f>D20*(A21/100)</f>
        <v>0</v>
      </c>
    </row>
    <row r="23" spans="1:4" x14ac:dyDescent="0.2">
      <c r="B23" s="78" t="s">
        <v>207</v>
      </c>
      <c r="C23" s="74"/>
      <c r="D23" s="75"/>
    </row>
    <row r="24" spans="1:4" x14ac:dyDescent="0.2">
      <c r="B24" s="1" t="s">
        <v>218</v>
      </c>
      <c r="C24" s="1"/>
      <c r="D24" s="11">
        <f>MAX(D7,0)</f>
        <v>0</v>
      </c>
    </row>
    <row r="25" spans="1:4" x14ac:dyDescent="0.2">
      <c r="B25" s="1" t="s">
        <v>222</v>
      </c>
      <c r="C25" s="11">
        <f>Skatteberegning!E45+Skatteberegning!F45</f>
        <v>0</v>
      </c>
      <c r="D25" s="11"/>
    </row>
    <row r="26" spans="1:4" x14ac:dyDescent="0.2">
      <c r="B26" s="1" t="s">
        <v>213</v>
      </c>
      <c r="C26" s="11">
        <f>C10</f>
        <v>0</v>
      </c>
      <c r="D26" s="11"/>
    </row>
    <row r="27" spans="1:4" x14ac:dyDescent="0.2">
      <c r="B27" s="1" t="s">
        <v>197</v>
      </c>
      <c r="C27" s="11">
        <f>C25+C26</f>
        <v>0</v>
      </c>
      <c r="D27" s="1"/>
    </row>
    <row r="28" spans="1:4" x14ac:dyDescent="0.2">
      <c r="B28" s="1" t="s">
        <v>217</v>
      </c>
      <c r="C28" s="1"/>
      <c r="D28" s="11">
        <f>MAX(0,(-1)*C27)</f>
        <v>0</v>
      </c>
    </row>
    <row r="29" spans="1:4" x14ac:dyDescent="0.2">
      <c r="B29" s="45" t="s">
        <v>220</v>
      </c>
      <c r="C29" s="1"/>
      <c r="D29" s="11" t="str">
        <f>IF(Skatteordning=2,MIN(D21,MAX(D24,D28)),"")</f>
        <v/>
      </c>
    </row>
    <row r="31" spans="1:4" x14ac:dyDescent="0.2">
      <c r="B31" s="78" t="s">
        <v>206</v>
      </c>
      <c r="C31" s="74"/>
      <c r="D31" s="75"/>
    </row>
    <row r="32" spans="1:4" x14ac:dyDescent="0.2">
      <c r="B32" s="1" t="s">
        <v>204</v>
      </c>
      <c r="C32" s="1"/>
      <c r="D32" s="11">
        <f>D11</f>
        <v>0</v>
      </c>
    </row>
    <row r="33" spans="2:4" x14ac:dyDescent="0.2">
      <c r="B33" s="45" t="s">
        <v>220</v>
      </c>
      <c r="C33" s="1"/>
      <c r="D33" s="11" t="str">
        <f>IF(Skatteordning=3,MAX(0,MIN(D21,D32)),"")</f>
        <v/>
      </c>
    </row>
    <row r="35" spans="2:4" x14ac:dyDescent="0.2">
      <c r="B35" s="8" t="s">
        <v>220</v>
      </c>
      <c r="C35" s="1"/>
      <c r="D35" s="11">
        <f>IF(Skatteordning=1,0,IF(Skatteordning=2,D29,IF(Skatteordning=3,D33,0)))</f>
        <v>0</v>
      </c>
    </row>
    <row r="37" spans="2:4" x14ac:dyDescent="0.2">
      <c r="B37" s="78" t="s">
        <v>111</v>
      </c>
      <c r="C37" s="74"/>
      <c r="D37" s="75"/>
    </row>
    <row r="38" spans="2:4" x14ac:dyDescent="0.2">
      <c r="B38" s="1" t="s">
        <v>201</v>
      </c>
      <c r="C38" s="1"/>
      <c r="D38" s="11">
        <f>D7</f>
        <v>0</v>
      </c>
    </row>
    <row r="39" spans="2:4" x14ac:dyDescent="0.2">
      <c r="B39" s="1" t="s">
        <v>213</v>
      </c>
      <c r="C39" s="1"/>
      <c r="D39" s="11">
        <f>IF(Skatteordning=3,C10,0)</f>
        <v>0</v>
      </c>
    </row>
    <row r="40" spans="2:4" x14ac:dyDescent="0.2">
      <c r="B40" s="1" t="s">
        <v>212</v>
      </c>
      <c r="C40" s="1"/>
      <c r="D40" s="11">
        <f>D35</f>
        <v>0</v>
      </c>
    </row>
    <row r="41" spans="2:4" x14ac:dyDescent="0.2">
      <c r="B41" s="45" t="s">
        <v>237</v>
      </c>
      <c r="C41" s="45"/>
      <c r="D41" s="44">
        <f>D38+D39-D40</f>
        <v>0</v>
      </c>
    </row>
    <row r="43" spans="2:4" x14ac:dyDescent="0.2">
      <c r="B43" s="78" t="s">
        <v>114</v>
      </c>
      <c r="C43" s="74"/>
      <c r="D43" s="75"/>
    </row>
    <row r="44" spans="2:4" x14ac:dyDescent="0.2">
      <c r="B44" s="1" t="s">
        <v>213</v>
      </c>
      <c r="C44" s="1"/>
      <c r="D44" s="11">
        <f>IF(Skatteordning=3,0,C10)</f>
        <v>0</v>
      </c>
    </row>
    <row r="45" spans="2:4" x14ac:dyDescent="0.2">
      <c r="B45" s="1" t="s">
        <v>212</v>
      </c>
      <c r="C45" s="1"/>
      <c r="D45" s="11">
        <f>D35</f>
        <v>0</v>
      </c>
    </row>
    <row r="46" spans="2:4" x14ac:dyDescent="0.2">
      <c r="B46" s="45" t="s">
        <v>237</v>
      </c>
      <c r="C46" s="1"/>
      <c r="D46" s="44">
        <f>D44+D45</f>
        <v>0</v>
      </c>
    </row>
  </sheetData>
  <sheetProtection sheet="1" objects="1" scenarios="1"/>
  <mergeCells count="9">
    <mergeCell ref="F1:G1"/>
    <mergeCell ref="B23:D23"/>
    <mergeCell ref="B31:D31"/>
    <mergeCell ref="B37:D37"/>
    <mergeCell ref="B43:D43"/>
    <mergeCell ref="C13:D13"/>
    <mergeCell ref="B3:D5"/>
    <mergeCell ref="B1:D1"/>
    <mergeCell ref="B15:D16"/>
  </mergeCells>
  <dataValidations count="1">
    <dataValidation type="list" allowBlank="1" showInputMessage="1" showErrorMessage="1" sqref="C13" xr:uid="{00000000-0002-0000-0100-000000000000}">
      <formula1>$I$1:$I$3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5"/>
  <sheetViews>
    <sheetView workbookViewId="0"/>
  </sheetViews>
  <sheetFormatPr defaultRowHeight="12.75" x14ac:dyDescent="0.2"/>
  <cols>
    <col min="1" max="1" width="24.140625" customWidth="1"/>
  </cols>
  <sheetData>
    <row r="1" spans="1:1" x14ac:dyDescent="0.2">
      <c r="A1" s="51" t="s">
        <v>251</v>
      </c>
    </row>
    <row r="2" spans="1:1" x14ac:dyDescent="0.2">
      <c r="A2" s="52" t="s">
        <v>253</v>
      </c>
    </row>
    <row r="3" spans="1:1" x14ac:dyDescent="0.2">
      <c r="A3" s="52" t="s">
        <v>235</v>
      </c>
    </row>
    <row r="5" spans="1:1" x14ac:dyDescent="0.2">
      <c r="A5" s="52" t="s">
        <v>252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59</vt:i4>
      </vt:variant>
    </vt:vector>
  </HeadingPairs>
  <TitlesOfParts>
    <vt:vector size="62" baseType="lpstr">
      <vt:lpstr>Skatteberegning</vt:lpstr>
      <vt:lpstr>Virksomhed</vt:lpstr>
      <vt:lpstr>Udgiver</vt:lpstr>
      <vt:lpstr>Gift</vt:lpstr>
      <vt:lpstr>Skatteordning</vt:lpstr>
      <vt:lpstr>Skatteberegning!TABLE</vt:lpstr>
      <vt:lpstr>Skatteberegning!TABLE_10</vt:lpstr>
      <vt:lpstr>Skatteberegning!TABLE_11</vt:lpstr>
      <vt:lpstr>Skatteberegning!TABLE_13</vt:lpstr>
      <vt:lpstr>Skatteberegning!TABLE_14</vt:lpstr>
      <vt:lpstr>Skatteberegning!TABLE_16</vt:lpstr>
      <vt:lpstr>Skatteberegning!TABLE_17</vt:lpstr>
      <vt:lpstr>Skatteberegning!TABLE_18</vt:lpstr>
      <vt:lpstr>Skatteberegning!TABLE_19</vt:lpstr>
      <vt:lpstr>Skatteberegning!TABLE_2</vt:lpstr>
      <vt:lpstr>Skatteberegning!TABLE_20</vt:lpstr>
      <vt:lpstr>Skatteberegning!TABLE_21</vt:lpstr>
      <vt:lpstr>Skatteberegning!TABLE_22</vt:lpstr>
      <vt:lpstr>Skatteberegning!TABLE_23</vt:lpstr>
      <vt:lpstr>Skatteberegning!TABLE_24</vt:lpstr>
      <vt:lpstr>Skatteberegning!TABLE_25</vt:lpstr>
      <vt:lpstr>Skatteberegning!TABLE_26</vt:lpstr>
      <vt:lpstr>Skatteberegning!TABLE_27</vt:lpstr>
      <vt:lpstr>Skatteberegning!TABLE_28</vt:lpstr>
      <vt:lpstr>Skatteberegning!TABLE_29</vt:lpstr>
      <vt:lpstr>Skatteberegning!TABLE_3</vt:lpstr>
      <vt:lpstr>Skatteberegning!TABLE_30</vt:lpstr>
      <vt:lpstr>Skatteberegning!TABLE_31</vt:lpstr>
      <vt:lpstr>Skatteberegning!TABLE_32</vt:lpstr>
      <vt:lpstr>Skatteberegning!TABLE_33</vt:lpstr>
      <vt:lpstr>Skatteberegning!TABLE_34</vt:lpstr>
      <vt:lpstr>Skatteberegning!TABLE_35</vt:lpstr>
      <vt:lpstr>Skatteberegning!TABLE_36</vt:lpstr>
      <vt:lpstr>Skatteberegning!TABLE_37</vt:lpstr>
      <vt:lpstr>Skatteberegning!TABLE_38</vt:lpstr>
      <vt:lpstr>Skatteberegning!TABLE_39</vt:lpstr>
      <vt:lpstr>Skatteberegning!TABLE_4</vt:lpstr>
      <vt:lpstr>Skatteberegning!TABLE_40</vt:lpstr>
      <vt:lpstr>Skatteberegning!TABLE_41</vt:lpstr>
      <vt:lpstr>Skatteberegning!TABLE_42</vt:lpstr>
      <vt:lpstr>Skatteberegning!TABLE_45</vt:lpstr>
      <vt:lpstr>Skatteberegning!TABLE_46</vt:lpstr>
      <vt:lpstr>Skatteberegning!TABLE_47</vt:lpstr>
      <vt:lpstr>Skatteberegning!TABLE_48</vt:lpstr>
      <vt:lpstr>Skatteberegning!TABLE_49</vt:lpstr>
      <vt:lpstr>Skatteberegning!TABLE_5</vt:lpstr>
      <vt:lpstr>Skatteberegning!TABLE_50</vt:lpstr>
      <vt:lpstr>Skatteberegning!TABLE_51</vt:lpstr>
      <vt:lpstr>Skatteberegning!TABLE_52</vt:lpstr>
      <vt:lpstr>Skatteberegning!TABLE_56</vt:lpstr>
      <vt:lpstr>Skatteberegning!TABLE_57</vt:lpstr>
      <vt:lpstr>Skatteberegning!TABLE_58</vt:lpstr>
      <vt:lpstr>Skatteberegning!TABLE_59</vt:lpstr>
      <vt:lpstr>Skatteberegning!TABLE_6</vt:lpstr>
      <vt:lpstr>Skatteberegning!TABLE_60</vt:lpstr>
      <vt:lpstr>Skatteberegning!TABLE_61</vt:lpstr>
      <vt:lpstr>Skatteberegning!TABLE_62</vt:lpstr>
      <vt:lpstr>Skatteberegning!TABLE_63</vt:lpstr>
      <vt:lpstr>Skatteberegning!TABLE_7</vt:lpstr>
      <vt:lpstr>Skatteberegning!TABLE_8</vt:lpstr>
      <vt:lpstr>Skatteberegning!TABLE_9</vt:lpstr>
      <vt:lpstr>Skatteberegning!Udskriftsområde</vt:lpstr>
    </vt:vector>
  </TitlesOfParts>
  <Company>Spies Information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TAX.DK skat &amp; afgift - Skatteberegning 2019</dc:title>
  <dc:creator>Hans Christian Spies</dc:creator>
  <cp:lastModifiedBy>hcspies</cp:lastModifiedBy>
  <cp:lastPrinted>2010-11-18T07:21:48Z</cp:lastPrinted>
  <dcterms:created xsi:type="dcterms:W3CDTF">2010-09-19T07:25:55Z</dcterms:created>
  <dcterms:modified xsi:type="dcterms:W3CDTF">2021-10-05T19:08:12Z</dcterms:modified>
</cp:coreProperties>
</file>